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24226"/>
  <mc:AlternateContent xmlns:mc="http://schemas.openxmlformats.org/markup-compatibility/2006">
    <mc:Choice Requires="x15">
      <x15ac:absPath xmlns:x15ac="http://schemas.microsoft.com/office/spreadsheetml/2010/11/ac" url="C:\Users\Gungl\Desktop\Julias Ordner\Schürenfeld\Wirtschaftlichkeitsberechnung\"/>
    </mc:Choice>
  </mc:AlternateContent>
  <xr:revisionPtr revIDLastSave="0" documentId="13_ncr:1_{20C3F367-7B7D-418E-B21B-7F81C08331BE}" xr6:coauthVersionLast="47" xr6:coauthVersionMax="47" xr10:uidLastSave="{00000000-0000-0000-0000-000000000000}"/>
  <bookViews>
    <workbookView xWindow="-108" yWindow="-108" windowWidth="23256" windowHeight="12576" xr2:uid="{00000000-000D-0000-FFFF-FFFF00000000}"/>
  </bookViews>
  <sheets>
    <sheet name="deduktive Wertermittlung" sheetId="6" r:id="rId1"/>
    <sheet name="Kosten Erlöse" sheetId="9" r:id="rId2"/>
    <sheet name="Zusammenfassung Kosten Erlöse" sheetId="14" r:id="rId3"/>
    <sheet name="Zusammenfassung QM-Preis" sheetId="15" r:id="rId4"/>
    <sheet name="Zins und Tilgung" sheetId="13" r:id="rId5"/>
    <sheet name="Gewerbesteuer" sheetId="12" r:id="rId6"/>
    <sheet name="Grundsteuer" sheetId="10" r:id="rId7"/>
    <sheet name="Wirtschaftskennziffern" sheetId="11" r:id="rId8"/>
    <sheet name="Flächenübersicht" sheetId="7" r:id="rId9"/>
    <sheet name="Flächengegenüberstellung" sheetId="8" r:id="rId10"/>
  </sheets>
  <definedNames>
    <definedName name="_xlnm.Print_Area" localSheetId="0">'deduktive Wertermittlung'!$A$1:$H$73</definedName>
    <definedName name="_xlnm.Print_Area" localSheetId="1">'Kosten Erlöse'!$A$4:$U$65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9" l="1"/>
  <c r="D44" i="9"/>
  <c r="F3" i="9"/>
  <c r="C7" i="14"/>
  <c r="D39" i="9"/>
  <c r="D58" i="9"/>
  <c r="C62" i="9"/>
  <c r="D62" i="9" s="1"/>
  <c r="C60" i="9"/>
  <c r="D60" i="9" s="1"/>
  <c r="D9" i="15"/>
  <c r="C7" i="15"/>
  <c r="D7" i="15" s="1"/>
  <c r="C5" i="15"/>
  <c r="D5" i="15" s="1"/>
  <c r="D3" i="15"/>
  <c r="D30" i="9"/>
  <c r="D51" i="9" s="1"/>
  <c r="D40" i="9"/>
  <c r="R138" i="10"/>
  <c r="D19" i="9"/>
  <c r="D24" i="9" s="1"/>
  <c r="D4" i="6"/>
  <c r="D18" i="6"/>
  <c r="D8" i="9"/>
  <c r="D34" i="9"/>
  <c r="R134" i="10"/>
  <c r="D35" i="9"/>
  <c r="D7" i="6"/>
  <c r="D6" i="6"/>
  <c r="D7" i="9" s="1"/>
  <c r="D5" i="6"/>
  <c r="E23" i="6" s="1"/>
  <c r="G23" i="6" s="1"/>
  <c r="E8" i="8"/>
  <c r="E10" i="8"/>
  <c r="E9" i="8"/>
  <c r="E6" i="8"/>
  <c r="E2" i="8"/>
  <c r="B7" i="8"/>
  <c r="D129" i="6"/>
  <c r="G116" i="6"/>
  <c r="I116" i="6"/>
  <c r="C5" i="14" l="1"/>
  <c r="D64" i="9"/>
  <c r="E19" i="6"/>
  <c r="G19" i="6" s="1"/>
  <c r="E18" i="6"/>
  <c r="G18" i="6" s="1"/>
  <c r="E21" i="6"/>
  <c r="G21" i="6" s="1"/>
  <c r="D37" i="9"/>
  <c r="D13" i="9"/>
  <c r="D16" i="9" s="1"/>
  <c r="G7" i="6"/>
  <c r="G6" i="6"/>
  <c r="E17" i="6"/>
  <c r="G17" i="6" s="1"/>
  <c r="G5" i="6"/>
  <c r="E16" i="6"/>
  <c r="G16" i="6" s="1"/>
  <c r="E20" i="6"/>
  <c r="G20" i="6" s="1"/>
  <c r="E12" i="8"/>
  <c r="D136" i="6"/>
  <c r="D131" i="6"/>
  <c r="D130" i="6"/>
  <c r="D41" i="9" l="1"/>
  <c r="D42" i="9" s="1"/>
  <c r="D26" i="9"/>
  <c r="C3" i="14" s="1"/>
  <c r="C9" i="14" s="1"/>
  <c r="E26" i="6"/>
  <c r="G26" i="6" s="1"/>
  <c r="G28" i="6" s="1"/>
  <c r="D137" i="6"/>
  <c r="C114" i="6"/>
  <c r="J21" i="7"/>
  <c r="J9" i="7"/>
  <c r="J27" i="7" s="1"/>
  <c r="C11" i="14" l="1"/>
  <c r="E3" i="15"/>
  <c r="D49" i="9"/>
  <c r="D50" i="9"/>
  <c r="D52" i="9" s="1"/>
  <c r="G31" i="6"/>
  <c r="G33" i="6"/>
  <c r="G38" i="6" s="1"/>
  <c r="E9" i="15" l="1"/>
  <c r="E5" i="15"/>
  <c r="F58" i="9"/>
  <c r="D54" i="9"/>
  <c r="G44" i="6"/>
  <c r="F64" i="9" l="1"/>
  <c r="F62" i="9"/>
  <c r="F60" i="9"/>
  <c r="F45" i="6"/>
  <c r="G45" i="6" s="1"/>
  <c r="G47" i="6" s="1"/>
  <c r="G49" i="6" s="1"/>
  <c r="E7"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tc={850D57B5-11A6-49FF-9915-C6B6060E7948}</author>
    <author>tc={111CB961-DAA9-4050-B0AF-4037BFA1D847}</author>
    <author>tc={35D4E65C-BEC9-4A36-B46B-F521C9CCDA81}</author>
    <author>tc={8EDCA265-8A08-4AD2-946D-0A4EC282943B}</author>
    <author>tc={BC5E8679-79BA-4F75-AB7D-4D12567670AF}</author>
    <author>tc={73E1F6BB-3591-4C21-BAED-22B56056EF29}</author>
  </authors>
  <commentList>
    <comment ref="B1" authorId="0" shapeId="0" xr:uid="{850D57B5-11A6-49FF-9915-C6B6060E794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Deduktive Bodenwertermittlung kann mit hinführender Bodenwertermittlung definiert werden (deduktiv abgeleitet vom lateinischen deductio für Ab-, Weg-, Hinführung). Deduktive Bodenwertermittlung wird als Verfahren benötigt, um den Verkehrswert für sogenanntes warteständiges Bauland (auch Bauerwartungsland) vorab berechnen zu können (Beispiel: Umlegung). Einflussgrößen auf einen festzustellenden Verkehrswert von baureifem, erschließungsbeitragsfreiem Bauland: Erschließungsausbaukosten (Gemeindeanteil mindestens zehn Prozent), Infrastrukturkosten, Bodenordnungskosten (Grundbuch, Vermessung, Notar), Vorhaltekosten (Zinssatz, Zinsänderungsrisiko, Wartezeit beachten), Wert unentgeltlich bereitstehender Erschließungsflächen. Entsprechende Zu-, Abschläge ergeben letztendlich den Bodenwert des wartestandigen Baulands. Synonym für deduktive Bodenwertermittlung: Residualwertverfahren.</t>
      </text>
    </comment>
    <comment ref="H24" authorId="1" shapeId="0" xr:uid="{111CB961-DAA9-4050-B0AF-4037BFA1D84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Nach der Geologischen Kartierung /2/ stehen an der Oberfläche des Untersuchungsgebietes quartäre Lösslehme an. Bei den Lössablagerungen handelt es sich um gelb-, grau-, bis rot-braune schwach tonige und schwach feinsandige Schluffe.
Im Liegenden der quartären Böden ist im Untersuchungsgebiet vorwiegend mit den sandigen bis stark sandigen Schluff- und Tonsteinen des Karbons – untergeordnet mit Sandstein - zu rechnen.
Bei Ausführung des Gebäudes ohne Unterkellerung kommen die Gründungselemente in den oberflächennah anstehenden, weichen Lösslehmen zum Liegen. Die Böden der Schicht 2 sind in den oberen rd. 3,5 m unter GOK als setzungsempfindlich einzustufen und bieten für einen konzentrierten Lasteintrag mittels Einzel- oder Streifenfundamenten keine ausreichen-den Tragfähigkeiten / Steifigkeiten bzw. es muss mit unzulässig große Setzungen / Set-zungsdifferenz des Gebäudes gerechnet werden.
Es wird daher grundsätzlich die Ausführung einer möglichst steifen Gründungsart z.B. in Form eines Fundamentrostes, vorzugsweise in Form einer lastverteilenden und statisch wirksamen Bodenplatte sowie in Verbindung mit dem Aufbau einer Tragpolsterschicht emp-fohlen.
Hinweis: Die für eine Gründung als gut tragfähig und verhältnismäßig setzungsunempfindli-chen einzustufenden Böden stehen ab einer Tiefe von rd. 3,5 m unter GOK an, so dass aus geotechnischer Sicht eine Ausführung des Gebäudes mit Keller als Vorzugsvariante anzu-sehen ist. Da gemäß /4/ eine Unterkellerung nicht vorgesehen ist, wird an dieser Stelle ledig-lich eine oberflächennahe Gründung weiterverfolgt.</t>
      </text>
    </comment>
    <comment ref="C31" authorId="2" shapeId="0" xr:uid="{35D4E65C-BEC9-4A36-B46B-F521C9CCDA8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Anteil Erschließungsfläche+Grünanlagen</t>
      </text>
    </comment>
    <comment ref="G36" authorId="3" shapeId="0" xr:uid="{8EDCA265-8A08-4AD2-946D-0A4EC282943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Rechtskraft B-Plan besteht</t>
      </text>
    </comment>
    <comment ref="G41" authorId="4" shapeId="0" xr:uid="{BC5E8679-79BA-4F75-AB7D-4D12567670A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fester Wert, Abzinsformel
Antwort:
    1/ q hoch n
1/1,04 hoch 4</t>
      </text>
    </comment>
    <comment ref="G51" authorId="5" shapeId="0" xr:uid="{73E1F6BB-3591-4C21-BAED-22B56056EF2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Idealergebnis Kostendeckungsprinzip: im Ergebnis eine Null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tc={F1E303C1-7521-45BD-9F8F-94DCEB12BFBE}</author>
    <author>tc={48285BD4-2A35-47D7-B7A4-74C55C43EFDA}</author>
    <author>tc={F9D0C0BA-77F6-408E-A6AC-7A58955D29C1}</author>
    <author>tc={899E9591-6131-4EF9-8B31-6AA90BE3F5F3}</author>
    <author>tc={87EE7347-A3E6-45C7-B7CF-64082E404B94}</author>
    <author>tc={05522FEF-B133-41FB-A13F-A241A6C52750}</author>
  </authors>
  <commentList>
    <comment ref="D5" authorId="0" shapeId="0" xr:uid="{F1E303C1-7521-45BD-9F8F-94DCEB12BFB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Zinsen nicht berücksichtigt</t>
      </text>
    </comment>
    <comment ref="D8" authorId="1" shapeId="0" xr:uid="{48285BD4-2A35-47D7-B7A4-74C55C43EFD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Abbruch Asphaltdeckschicht (7cm) für 8,60 €/m²; Entsorgung Asphaltdeckschicht (1 m³ entsprechen 1,8 t; 7.000 m² x 0,07 m = 490 m³; 490 m³ x 1,85 t =882 t) x 24,24 €; Abbruch Tragschicht (40 cm Schotter/Schutt; 1 m² entsprechen 1,85 t; 7000 m² x 0,4 m = 2800 m²; 2800 m³ x 1,85 t = 5180 t) x 17 € = 88.060 €; Entsorgung Tragschicht Deponiekosten 5180 t x 24,24 € = 125.563 €</t>
      </text>
    </comment>
    <comment ref="D16" authorId="2" shapeId="0" xr:uid="{F9D0C0BA-77F6-408E-A6AC-7A58955D29C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Angaben Stadt Fröndenberg aus Investitionsplan 2023: 9.875.567 €</t>
      </text>
    </comment>
    <comment ref="B34" authorId="3" shapeId="0" xr:uid="{899E9591-6131-4EF9-8B31-6AA90BE3F5F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Einheitswert x Grundsteuermeßzahl x Hebesatz
Antwort:
    Grundsteuermeßzahl = 1% bei unbebauten Grundstücken
Antwort:
    Hebesatz Fröndenberg 695%
Antwort:
    Steuermesszahl bei bebauten Grundstücken: 0,34 %</t>
      </text>
    </comment>
    <comment ref="C35" authorId="4" shapeId="0" xr:uid="{87EE7347-A3E6-45C7-B7CF-64082E404B9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15 x 100.000 € = 1.500.000, davon 15 % Gewerbesteuereinnahmen</t>
      </text>
    </comment>
    <comment ref="D40" authorId="5" shapeId="0" xr:uid="{05522FEF-B133-41FB-A13F-A241A6C5275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Abschreibungen sind bei 22.500.000 € reduziert um 13.500.000 €, so dass maximal die Gewerbesteuer abgezogen wird</t>
      </text>
    </comment>
  </commentList>
</comments>
</file>

<file path=xl/sharedStrings.xml><?xml version="1.0" encoding="utf-8"?>
<sst xmlns="http://schemas.openxmlformats.org/spreadsheetml/2006/main" count="406" uniqueCount="267">
  <si>
    <t>Baulandbereitstellung</t>
  </si>
  <si>
    <t>Kommunale Leistungen</t>
  </si>
  <si>
    <t>Kommunale Umlagen</t>
  </si>
  <si>
    <t>Ausgaben</t>
  </si>
  <si>
    <t>Einnahmen</t>
  </si>
  <si>
    <t>Einkommenssteuer</t>
  </si>
  <si>
    <t>Grundsteuer</t>
  </si>
  <si>
    <t>Übersicht Flurstücke "Gewerbliche Fläche Schürenfeld", Anlage 1 zum Schreiben vom 28.02.2019</t>
  </si>
  <si>
    <t>63/1</t>
  </si>
  <si>
    <t>63/2</t>
  </si>
  <si>
    <t>190/1</t>
  </si>
  <si>
    <t>62/1</t>
  </si>
  <si>
    <t>Flurstückskennzeichen:</t>
  </si>
  <si>
    <t>051937007000630001__</t>
  </si>
  <si>
    <t>051937007000630002__</t>
  </si>
  <si>
    <t>051937007000620001__</t>
  </si>
  <si>
    <t>05135300200084______</t>
  </si>
  <si>
    <t>05193600100098______</t>
  </si>
  <si>
    <t>05193600100006______</t>
  </si>
  <si>
    <t>05193600100005______</t>
  </si>
  <si>
    <t>Gemarkung:</t>
  </si>
  <si>
    <t>Strickherdicke</t>
  </si>
  <si>
    <t>Dellwig</t>
  </si>
  <si>
    <t>Langschede</t>
  </si>
  <si>
    <t>Gemarkungskennzeichen:</t>
  </si>
  <si>
    <t>Flur:</t>
  </si>
  <si>
    <t>Gemeinde:</t>
  </si>
  <si>
    <t>Fröndenberg/Ruhr</t>
  </si>
  <si>
    <t>Gemeindekennzeichen:</t>
  </si>
  <si>
    <t>Amtliche Fläche in m²:</t>
  </si>
  <si>
    <t>Lagebezeichnung</t>
  </si>
  <si>
    <t>Am Grünen Weg</t>
  </si>
  <si>
    <t>Schürenfeld</t>
  </si>
  <si>
    <t>(verschlüsselt):</t>
  </si>
  <si>
    <t>(keine Angabe)</t>
  </si>
  <si>
    <t>Tatsächliche Nutzung/m²:</t>
  </si>
  <si>
    <t>Landwirtschaft / Ackerland / 8071</t>
  </si>
  <si>
    <t>Landwirtschaft / Ackerland / 10629</t>
  </si>
  <si>
    <t>Landwirtschaft / Ackerland / 12437</t>
  </si>
  <si>
    <t>Landwirtschaft / Ackerland / 27357</t>
  </si>
  <si>
    <t>Landwirtschaft / Ackerland / 79048</t>
  </si>
  <si>
    <t>Landwirtschaft / Ackerland / 4074</t>
  </si>
  <si>
    <t>Landwirtschaft / Ackerland / 7643</t>
  </si>
  <si>
    <t>287/67</t>
  </si>
  <si>
    <t>05193600100118______</t>
  </si>
  <si>
    <t>05193600100116______</t>
  </si>
  <si>
    <t>05193700700374______</t>
  </si>
  <si>
    <t>05193700700059______</t>
  </si>
  <si>
    <t>05193700700060______</t>
  </si>
  <si>
    <t>051937007002870067__</t>
  </si>
  <si>
    <t>05193700700250______</t>
  </si>
  <si>
    <t>05193700700251______</t>
  </si>
  <si>
    <t>Im Rahmsdahl</t>
  </si>
  <si>
    <t>Landwirtschaft / Ackerland / 4668</t>
  </si>
  <si>
    <t>Landwirtschaft / Ackerland / 6049</t>
  </si>
  <si>
    <t>Landwirtschaft / Ackerland / 4974</t>
  </si>
  <si>
    <t>Landwirtschaft / Ackerland / 2386</t>
  </si>
  <si>
    <t>Landwirtschaft / Grünland / 1566</t>
  </si>
  <si>
    <t>Landwirtschaft / Grünland / 1524</t>
  </si>
  <si>
    <t>Landwirtschaft / Grünland / 9166</t>
  </si>
  <si>
    <t>Landwirtschaft / Grünland / 3826</t>
  </si>
  <si>
    <t>Landwirtschaft / Grünland / 305</t>
  </si>
  <si>
    <t>Gehölz / 268</t>
  </si>
  <si>
    <t>Fläche gesamt</t>
  </si>
  <si>
    <t>davon</t>
  </si>
  <si>
    <t>bebaubar</t>
  </si>
  <si>
    <t>Erwerbskosten der Grundstücke</t>
  </si>
  <si>
    <t>Erschließungskosten</t>
  </si>
  <si>
    <t>Finanzausgleich</t>
  </si>
  <si>
    <t>Verkaufspreis</t>
  </si>
  <si>
    <t>€/m²</t>
  </si>
  <si>
    <t>nicht bebaubar</t>
  </si>
  <si>
    <t>Regenauffangbecken</t>
  </si>
  <si>
    <t>Bodenrichtwert</t>
  </si>
  <si>
    <t>Fröndenberg</t>
  </si>
  <si>
    <t>Unna</t>
  </si>
  <si>
    <t>Kamen Carree</t>
  </si>
  <si>
    <t>von</t>
  </si>
  <si>
    <t>bis</t>
  </si>
  <si>
    <t>Verkehrserschließung innen</t>
  </si>
  <si>
    <t>Lärmschutz</t>
  </si>
  <si>
    <t>Naturschutz, ökologischer Ausgleich</t>
  </si>
  <si>
    <t>Medienleitungen</t>
  </si>
  <si>
    <t>Ansiedlung von 15 Betrieben geplant</t>
  </si>
  <si>
    <t>(geplant sind 1,15 Mio.)</t>
  </si>
  <si>
    <t>(geplant sind 3 Mio.)</t>
  </si>
  <si>
    <t>(geplant sind 18 Hektar)</t>
  </si>
  <si>
    <t>Umweltgutachten Ergebnis: Belastung bleibt gleich trotz höheren Fahrzeugaufkommens?!</t>
  </si>
  <si>
    <t>100%- Finanzierung?!</t>
  </si>
  <si>
    <t>Leerstandsflächen derzeit in Dellwig ca. 30.000 m²</t>
  </si>
  <si>
    <t>Verkehrserschließung außen: Entwässerung</t>
  </si>
  <si>
    <t>Verkehrserschließung außen: Straße</t>
  </si>
  <si>
    <t>?</t>
  </si>
  <si>
    <t>Sonstiges: Projektmanagement, Marketing, Zinsen</t>
  </si>
  <si>
    <t>Verkehrszählung erfolgte in den Ferien</t>
  </si>
  <si>
    <t>Stadt Fröndenberg</t>
  </si>
  <si>
    <t>Quelle:WFG 2008</t>
  </si>
  <si>
    <t>können einzelne Bauern helfen?</t>
  </si>
  <si>
    <t>anfragen bei Wirtschaftförderung Unna wegen Erschließung Kamener Kreuz</t>
  </si>
  <si>
    <t>Hebel über Presse</t>
  </si>
  <si>
    <t>Businessplan von Kämmerer Herr Günter Freck?!</t>
  </si>
  <si>
    <t>Tilgung</t>
  </si>
  <si>
    <t>Gewerbesteuer</t>
  </si>
  <si>
    <t>nach Gewerbeertrag</t>
  </si>
  <si>
    <t>Art der Betriebe als Mischkalkulation (kleine und mittlere Unternehmen, z.B. Handwerker und DL- Unternehmen)</t>
  </si>
  <si>
    <t>Maximale Flächenausnutzung</t>
  </si>
  <si>
    <t>Loh/ ehemals Thyssen</t>
  </si>
  <si>
    <t>Fröndenberg Westick</t>
  </si>
  <si>
    <t>Herr Ernst</t>
  </si>
  <si>
    <t>Herr Kötter</t>
  </si>
  <si>
    <t>Ardey</t>
  </si>
  <si>
    <t>Wilhelm Staupe</t>
  </si>
  <si>
    <t>Dellwig, Kanuverein</t>
  </si>
  <si>
    <t>Westhelle</t>
  </si>
  <si>
    <t>Menden</t>
  </si>
  <si>
    <t>fragen wem was gehört</t>
  </si>
  <si>
    <t>Evangelische Kirchenkreis Unna</t>
  </si>
  <si>
    <t>Frau Molitor</t>
  </si>
  <si>
    <t>Frau Schrör</t>
  </si>
  <si>
    <t>Hassler Straße</t>
  </si>
  <si>
    <t>Die Grünen</t>
  </si>
  <si>
    <t>Beckmann: was bekommt man beim Verkauf für den qm?</t>
  </si>
  <si>
    <t>Ersatzflächen Kosten????? Ausgleichfläche</t>
  </si>
  <si>
    <t>Hennenmann</t>
  </si>
  <si>
    <t>Was ist zu erwarten an Gewerbesteuer?</t>
  </si>
  <si>
    <t>JG</t>
  </si>
  <si>
    <t>Archäologie</t>
  </si>
  <si>
    <t>IST</t>
  </si>
  <si>
    <t>Acker</t>
  </si>
  <si>
    <t>Intensivgrünland</t>
  </si>
  <si>
    <t>Versiegelte Fläche (Verkehrsfläche B233)</t>
  </si>
  <si>
    <t>Zier- und Nutzgarten, strukturreich</t>
  </si>
  <si>
    <t>SOLL</t>
  </si>
  <si>
    <t>Versiegelte Fläche (Verkehrsfläche Grüner Weg)</t>
  </si>
  <si>
    <t>Versiegelte Fläche (gewerblich genutzte Baugrundstücke)</t>
  </si>
  <si>
    <t>Grünfläche in Gewerbegebiet</t>
  </si>
  <si>
    <t>Extensivrasen, Stauden, Bodendecker (Anpflanzung innere Erschließung)</t>
  </si>
  <si>
    <t>Versiegelte Fläche RRB (Betonbauwerk)</t>
  </si>
  <si>
    <t>Hecken, Gebüsche, Feldgehölze (M1-5)</t>
  </si>
  <si>
    <t>Feld- und Waldwege (M1+5)</t>
  </si>
  <si>
    <t>Extensivrasen und Extensiv genutztes Grünland (M5)</t>
  </si>
  <si>
    <t>Größe der Bewertungsfläche</t>
  </si>
  <si>
    <t>Nettobauland</t>
  </si>
  <si>
    <t>m²</t>
  </si>
  <si>
    <t>v.H.</t>
  </si>
  <si>
    <t>Ermittlung des Bodenwertes für die Bewertungsfläche zum Wertermittlungsstichtag</t>
  </si>
  <si>
    <t>Ausgangswert für erschließungsbeitragsfreies sofort bebaubares Nettobauland</t>
  </si>
  <si>
    <t>Merkantiler Minderwert</t>
  </si>
  <si>
    <t>Kosten für Infrastruktur</t>
  </si>
  <si>
    <t>Herstellung der äußeren Erschließung</t>
  </si>
  <si>
    <t>Herstellung der inneren Erschließung</t>
  </si>
  <si>
    <t>Herstellung der Grünflächen</t>
  </si>
  <si>
    <t>Herstellung des Regenklär-/rückhaltebeckens</t>
  </si>
  <si>
    <t>Flächen für Grünanlagen (Ausgleichsflächen)</t>
  </si>
  <si>
    <t>Herstellung der öffentlichen Bedarfsflächen (soziale Infrastruktur)</t>
  </si>
  <si>
    <t>Gründungsmehraufwand</t>
  </si>
  <si>
    <t>Sanierungsmehraufwand</t>
  </si>
  <si>
    <t>Verwaltungskosten (Stadtplanung, Ämter, Gutachten)</t>
  </si>
  <si>
    <t>Angaben Stadt Fröndenberg</t>
  </si>
  <si>
    <t>Erschließungsflächen inkl. Fläche RRB</t>
  </si>
  <si>
    <t>Archäologische Kosten</t>
  </si>
  <si>
    <t>Angaben Presse</t>
  </si>
  <si>
    <t>Zwischenwert 1: Ausbaubeitragsfreies Nettobauland</t>
  </si>
  <si>
    <t>Flächenbeiträge</t>
  </si>
  <si>
    <t>Erschließungs-, Grün- öffentliche Bedarfsflächen mit etwa 41%</t>
  </si>
  <si>
    <t>Planungsunsicherheit/ Unsicherheit der Vermarktung</t>
  </si>
  <si>
    <t>Abzug für Unsicherheit von 0%</t>
  </si>
  <si>
    <t>Zwischenwert 3: Brutto- Rohbauland vor Planung und Vermarktung</t>
  </si>
  <si>
    <t>Berücksichtigung der Wartezeit bis zur Baureife und Vermarktung</t>
  </si>
  <si>
    <t>5 Jahre Wartezeit (gewichtet)</t>
  </si>
  <si>
    <t>Abzinsungsfaktor 4 Jahre/ 4%</t>
  </si>
  <si>
    <t>Bodenwert 1 zum Wertermittlungsstichtag (gewichtet)</t>
  </si>
  <si>
    <t>Bodenwert 2 nach Abzug der Grunderwerbsnebenkosten</t>
  </si>
  <si>
    <t>Bodenwert 2</t>
  </si>
  <si>
    <t>Gewerbegebiet Schürenfeld, Fröndenberg- Dellwig</t>
  </si>
  <si>
    <t>Kosten</t>
  </si>
  <si>
    <t>innere Erschließung</t>
  </si>
  <si>
    <t>Grünflächengestaltung</t>
  </si>
  <si>
    <t>Verwaltungskosten</t>
  </si>
  <si>
    <t>äußere Erschließung</t>
  </si>
  <si>
    <t>Fachgutachten</t>
  </si>
  <si>
    <t xml:space="preserve"> </t>
  </si>
  <si>
    <t>unbekannt</t>
  </si>
  <si>
    <t>Anschluss Bundesstraße/ Ampelanlage</t>
  </si>
  <si>
    <t>Kosten für Kompensationsdefizit von 10.500 Biotopwertpunkten bzw. 5,7 ha</t>
  </si>
  <si>
    <t>Aufforstung 2011 Ostbüren Acker</t>
  </si>
  <si>
    <t>Geldausgleich für 30.000 m²</t>
  </si>
  <si>
    <t>Fördergelder</t>
  </si>
  <si>
    <t>15 Betriebe mit 100.000 € Gewinn im Jahr</t>
  </si>
  <si>
    <t>geht an das Land/ den Staat</t>
  </si>
  <si>
    <t>Betriebs- und Werkstätten</t>
  </si>
  <si>
    <t>Lagergebäude ohne Mischnutzung</t>
  </si>
  <si>
    <t>Industrielle Produktionsgebäude</t>
  </si>
  <si>
    <t>Mittelwert</t>
  </si>
  <si>
    <t>geplant</t>
  </si>
  <si>
    <t>Betriebe</t>
  </si>
  <si>
    <t>15 Betriebe, je 7.250 m² Grund, 5.000 m² Gebäude</t>
  </si>
  <si>
    <t>Entwässerung Umbau Liethebach</t>
  </si>
  <si>
    <t>Erlöse aus Grundstücksverkäufen</t>
  </si>
  <si>
    <t>108.820 m² x 45 €</t>
  </si>
  <si>
    <t>Erlöse aus Grundstücksverkauf</t>
  </si>
  <si>
    <t>Zwischenwert 2: Erschließungs- und abgabefreies Brutto- Rohbauland</t>
  </si>
  <si>
    <t>Grunderwerbsnebenkosten Notar- und Gerichtsgebühren (1,5%)</t>
  </si>
  <si>
    <t>Vermarktungskosten WFG</t>
  </si>
  <si>
    <t>n=Wartezeit, q=1+Zinssatz, h=Wartzeit; für jedes Jahr dass das Grundstück liegt, 4% abziehen</t>
  </si>
  <si>
    <t>nur 1,5% ansetzen, da negativer Wert. Eigentlich 8%</t>
  </si>
  <si>
    <t xml:space="preserve">Zwischensumme </t>
  </si>
  <si>
    <t>SUMME KOSTEN</t>
  </si>
  <si>
    <t>SUMMEN KOSTEN UND ERLÖSE</t>
  </si>
  <si>
    <t>BERECHNUNG DES ERFORDERLICHEN QM- PREISES</t>
  </si>
  <si>
    <t>Szenario 1</t>
  </si>
  <si>
    <t>Marktpreis</t>
  </si>
  <si>
    <t>30% über Marktpreis</t>
  </si>
  <si>
    <t>Defizit</t>
  </si>
  <si>
    <t>Szenario 2</t>
  </si>
  <si>
    <t>50% über Marktpreis</t>
  </si>
  <si>
    <t>Summe Erlöse</t>
  </si>
  <si>
    <t>Szenario 3</t>
  </si>
  <si>
    <t>Szenario 4</t>
  </si>
  <si>
    <t>Flächenerwerb Ackerland</t>
  </si>
  <si>
    <t>KOSTEN ERLÖSE GEGENÜBERSTELLUNG</t>
  </si>
  <si>
    <t>DEDUKTIVE WERTERMITTLUNG</t>
  </si>
  <si>
    <t>Kostenschätzung, siehe Detailberechnung</t>
  </si>
  <si>
    <t>gesuchte Größe: Kosten für den Flächenerwerb</t>
  </si>
  <si>
    <t>Grunderwerbsnebenkosten 8%</t>
  </si>
  <si>
    <t>Schätzkosten</t>
  </si>
  <si>
    <t>Angaben Stadt Fröndenberg 2022</t>
  </si>
  <si>
    <t>Schätzkosten, 30 Gutachten à 7.000 €</t>
  </si>
  <si>
    <t>Schätzkosten, da keine Angaben</t>
  </si>
  <si>
    <t xml:space="preserve">Rückbau "Grüner Weg" 7.025 m² </t>
  </si>
  <si>
    <t>Grund- und Gewerbesteuer, reduziert um 10 % wegen Umzug innerhalb des Gemeindegebiets, Laufzeit 40 Jahre</t>
  </si>
  <si>
    <t>Gewerbesteuereinnahmen Reduzierung durch frisches Abschreibungspotential für Neubau</t>
  </si>
  <si>
    <t>Steuererlöse</t>
  </si>
  <si>
    <t>potentielle max. STEUERERLÖSE ohne Abschreibung oder Ausfall</t>
  </si>
  <si>
    <t>Kreditzinsen</t>
  </si>
  <si>
    <t>siehe Zinsberechnung, Anlehnung Investitionsplanung 2023</t>
  </si>
  <si>
    <t>ohne Berücksichtigung von Haushaltsbelastungen laut Ergebnisplan</t>
  </si>
  <si>
    <t>Erlöse aus Fördergeldern und Grundstücksverkäufen</t>
  </si>
  <si>
    <t>Erlöse aus Steuereinnahmen</t>
  </si>
  <si>
    <t>15 Betriebe, im Mittel (Flächenausnutzung Grundstück und Bebauung maximiert)</t>
  </si>
  <si>
    <t>jährliche Rendite bei 40 Jahren Laufzeit</t>
  </si>
  <si>
    <t>nicht berücksichtigt sind Betriebe, die innerhalb von Fröndenberg umziehen (hohes Abschreibungspotential)</t>
  </si>
  <si>
    <t>Break-even-point (ca. 280 % über Marktpreis)</t>
  </si>
  <si>
    <r>
      <t>Das Ergebnis der deduktiven Bodenwertermittlung beträgt nach Abzug der Grunderwerbsnebenkosten rund</t>
    </r>
    <r>
      <rPr>
        <b/>
        <sz val="14"/>
        <rFont val="Calibri"/>
        <family val="2"/>
        <scheme val="minor"/>
      </rPr>
      <t xml:space="preserve"> -5,6 Mio. €</t>
    </r>
    <r>
      <rPr>
        <sz val="14"/>
        <rFont val="Calibri"/>
        <family val="2"/>
        <scheme val="minor"/>
      </rPr>
      <t xml:space="preserve"> bzw. </t>
    </r>
    <r>
      <rPr>
        <b/>
        <sz val="14"/>
        <rFont val="Calibri"/>
        <family val="2"/>
        <scheme val="minor"/>
      </rPr>
      <t>-30,29 €/m²</t>
    </r>
    <r>
      <rPr>
        <sz val="14"/>
        <rFont val="Calibri"/>
        <family val="2"/>
        <scheme val="minor"/>
      </rPr>
      <t xml:space="preserve"> Grundstücksfläche.</t>
    </r>
  </si>
  <si>
    <t>Zwischensumme jährlich</t>
  </si>
  <si>
    <t>STEUERERLÖSE mit Abschreibung oder Ausfall</t>
  </si>
  <si>
    <t>Angaben Stadt Fröndenberg Investitionsplanung 06/2023, ohne Grundstücksverkäufe</t>
  </si>
  <si>
    <t>Schätzkosten; 300 €/m² Straßenfläche</t>
  </si>
  <si>
    <t>Schätzkosten; Preise aus März 2022</t>
  </si>
  <si>
    <t>Schätzkosten; 30 €/m² Grünfläche</t>
  </si>
  <si>
    <t>Schätzkosten; 3 €/m² Nettobauland</t>
  </si>
  <si>
    <t>Notar- und Gerichtskosten, Grunderwerbsteuer, Grundstücksvermessung</t>
  </si>
  <si>
    <t>Schätzkosten; 2.700 m² x 30 €</t>
  </si>
  <si>
    <t>Angaben Stadt Fröndenberg, Umweltgutachten</t>
  </si>
  <si>
    <t>jährlich (Maximalwert ohne Abschreibungen etc.)</t>
  </si>
  <si>
    <t>40 Jahre; Standardwert aus Wertermittlung</t>
  </si>
  <si>
    <t>Kostendeckung</t>
  </si>
  <si>
    <t>=bereits ausgegeben</t>
  </si>
  <si>
    <t>KOSTEN ERLÖSE ZUSAMMENFASSUNG</t>
  </si>
  <si>
    <r>
      <t xml:space="preserve">Summe </t>
    </r>
    <r>
      <rPr>
        <b/>
        <sz val="16"/>
        <color rgb="FFFF0000"/>
        <rFont val="Calibri"/>
        <family val="2"/>
        <scheme val="minor"/>
      </rPr>
      <t>Defizit</t>
    </r>
    <r>
      <rPr>
        <b/>
        <sz val="16"/>
        <color theme="1"/>
        <rFont val="Calibri"/>
        <family val="2"/>
        <scheme val="minor"/>
      </rPr>
      <t>/ Überschuss</t>
    </r>
  </si>
  <si>
    <t>30 % über Marktpreis</t>
  </si>
  <si>
    <t>50 % über Marktpreis</t>
  </si>
  <si>
    <t>Grundstücksverkäufe</t>
  </si>
  <si>
    <t>SUMME ERLÖSE</t>
  </si>
  <si>
    <t>in 40 Jahren</t>
  </si>
  <si>
    <t>nach 40 Jahren Laufzeit und 100% Veräußerung sowie Bebauung und Nutzung</t>
  </si>
  <si>
    <t>jährliche Rendite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</si>
</sst>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0\ &quot;€&quot;;[Red]\-#,##0\ &quot;€&quot;"/>
    <numFmt numFmtId="42" formatCode="_-* #,##0\ &quot;€&quot;_-;\-* #,##0\ &quot;€&quot;_-;_-* &quot;-&quot;\ &quot;€&quot;_-;_-@_-"/>
    <numFmt numFmtId="44" formatCode="_-* #,##0.00\ &quot;€&quot;_-;\-* #,##0.00\ &quot;€&quot;_-;_-* &quot;-&quot;??\ &quot;€&quot;_-;_-@_-"/>
    <numFmt numFmtId="164" formatCode="#,##0.00\ &quot;€&quot;"/>
  </numFmts>
  <fonts count="34" x14ac:knownFonts="1">
    <font>
      <sz val="11"/>
      <color theme="1"/>
      <name val="Calibri"/>
      <family val="2"/>
      <scheme val="minor"/>
    </font>
    <font>
      <b/>
      <sz val="11"/>
      <color theme="1"/>
      <name val="Calibri"/>
      <family val="2"/>
      <scheme val="minor"/>
    </font>
    <font>
      <b/>
      <sz val="14"/>
      <color theme="1"/>
      <name val="Arial"/>
      <family val="2"/>
    </font>
    <font>
      <b/>
      <sz val="10"/>
      <color theme="1"/>
      <name val="Arial"/>
      <family val="2"/>
    </font>
    <font>
      <sz val="10"/>
      <color theme="1"/>
      <name val="Arial"/>
      <family val="2"/>
    </font>
    <font>
      <i/>
      <sz val="11"/>
      <color rgb="FFFF0000"/>
      <name val="Calibri"/>
      <family val="2"/>
      <scheme val="minor"/>
    </font>
    <font>
      <sz val="11"/>
      <color rgb="FF92D050"/>
      <name val="Calibri"/>
      <family val="2"/>
      <scheme val="minor"/>
    </font>
    <font>
      <b/>
      <sz val="11"/>
      <color rgb="FF92D050"/>
      <name val="Calibri"/>
      <family val="2"/>
      <scheme val="minor"/>
    </font>
    <font>
      <sz val="11"/>
      <color theme="3"/>
      <name val="Calibri"/>
      <family val="2"/>
      <scheme val="minor"/>
    </font>
    <font>
      <sz val="11"/>
      <color rgb="FFFF0000"/>
      <name val="Calibri"/>
      <family val="2"/>
      <scheme val="minor"/>
    </font>
    <font>
      <strike/>
      <sz val="11"/>
      <color theme="1"/>
      <name val="Calibri"/>
      <family val="2"/>
      <scheme val="minor"/>
    </font>
    <font>
      <sz val="10"/>
      <color rgb="FFFF0000"/>
      <name val="Arial"/>
      <family val="2"/>
    </font>
    <font>
      <b/>
      <sz val="16"/>
      <color theme="1"/>
      <name val="Calibri"/>
      <family val="2"/>
      <scheme val="minor"/>
    </font>
    <font>
      <b/>
      <sz val="14"/>
      <color theme="1"/>
      <name val="Calibri"/>
      <family val="2"/>
      <scheme val="minor"/>
    </font>
    <font>
      <sz val="8"/>
      <name val="Calibri"/>
      <family val="2"/>
      <scheme val="minor"/>
    </font>
    <font>
      <b/>
      <u/>
      <sz val="11"/>
      <color theme="1"/>
      <name val="Calibri"/>
      <family val="2"/>
      <scheme val="minor"/>
    </font>
    <font>
      <i/>
      <sz val="11"/>
      <color theme="1"/>
      <name val="Calibri"/>
      <family val="2"/>
      <scheme val="minor"/>
    </font>
    <font>
      <sz val="11"/>
      <color theme="1"/>
      <name val="Calibri"/>
      <family val="2"/>
      <scheme val="minor"/>
    </font>
    <font>
      <sz val="11"/>
      <name val="Calibri"/>
      <family val="2"/>
      <scheme val="minor"/>
    </font>
    <font>
      <b/>
      <sz val="11"/>
      <color rgb="FFFF0000"/>
      <name val="Calibri"/>
      <family val="2"/>
      <scheme val="minor"/>
    </font>
    <font>
      <sz val="8"/>
      <color theme="1"/>
      <name val="Calibri"/>
      <family val="2"/>
      <scheme val="minor"/>
    </font>
    <font>
      <i/>
      <sz val="11"/>
      <name val="Calibri"/>
      <family val="2"/>
      <scheme val="minor"/>
    </font>
    <font>
      <sz val="14"/>
      <name val="Calibri"/>
      <family val="2"/>
      <scheme val="minor"/>
    </font>
    <font>
      <b/>
      <sz val="14"/>
      <name val="Calibri"/>
      <family val="2"/>
      <scheme val="minor"/>
    </font>
    <font>
      <sz val="14"/>
      <color theme="1"/>
      <name val="Calibri"/>
      <family val="2"/>
      <scheme val="minor"/>
    </font>
    <font>
      <sz val="16"/>
      <color theme="1"/>
      <name val="Calibri"/>
      <family val="2"/>
      <scheme val="minor"/>
    </font>
    <font>
      <b/>
      <sz val="16"/>
      <color rgb="FFFF0000"/>
      <name val="Calibri"/>
      <family val="2"/>
      <scheme val="minor"/>
    </font>
    <font>
      <sz val="16"/>
      <color rgb="FFFF0000"/>
      <name val="Calibri"/>
      <family val="2"/>
      <scheme val="minor"/>
    </font>
    <font>
      <b/>
      <sz val="16"/>
      <name val="Calibri"/>
      <family val="2"/>
      <scheme val="minor"/>
    </font>
    <font>
      <i/>
      <sz val="16"/>
      <color theme="1"/>
      <name val="Calibri"/>
      <family val="2"/>
      <scheme val="minor"/>
    </font>
    <font>
      <i/>
      <sz val="16"/>
      <color theme="0" tint="-0.499984740745262"/>
      <name val="Calibri"/>
      <family val="2"/>
      <scheme val="minor"/>
    </font>
    <font>
      <sz val="16"/>
      <name val="Calibri"/>
      <family val="2"/>
      <scheme val="minor"/>
    </font>
    <font>
      <sz val="16"/>
      <color theme="6"/>
      <name val="Calibri"/>
      <family val="2"/>
      <scheme val="minor"/>
    </font>
    <font>
      <b/>
      <i/>
      <sz val="16"/>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3" tint="0.59999389629810485"/>
        <bgColor indexed="64"/>
      </patternFill>
    </fill>
  </fills>
  <borders count="12">
    <border>
      <left/>
      <right/>
      <top/>
      <bottom/>
      <diagonal/>
    </border>
    <border>
      <left/>
      <right/>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top/>
      <bottom style="double">
        <color indexed="64"/>
      </bottom>
      <diagonal/>
    </border>
    <border>
      <left/>
      <right/>
      <top style="thin">
        <color indexed="64"/>
      </top>
      <bottom style="thin">
        <color indexed="64"/>
      </bottom>
      <diagonal/>
    </border>
  </borders>
  <cellStyleXfs count="3">
    <xf numFmtId="0" fontId="0" fillId="0" borderId="0"/>
    <xf numFmtId="44" fontId="17" fillId="0" borderId="0" applyFont="0" applyFill="0" applyBorder="0" applyAlignment="0" applyProtection="0"/>
    <xf numFmtId="9" fontId="17" fillId="0" borderId="0" applyFont="0" applyFill="0" applyBorder="0" applyAlignment="0" applyProtection="0"/>
  </cellStyleXfs>
  <cellXfs count="156">
    <xf numFmtId="0" fontId="0" fillId="0" borderId="0" xfId="0"/>
    <xf numFmtId="0" fontId="1" fillId="0" borderId="0" xfId="0" applyFont="1"/>
    <xf numFmtId="0" fontId="2" fillId="0" borderId="0" xfId="0" applyFont="1"/>
    <xf numFmtId="0" fontId="3" fillId="3" borderId="0" xfId="0" applyFont="1" applyFill="1"/>
    <xf numFmtId="0" fontId="3" fillId="0" borderId="0" xfId="0" applyFont="1" applyAlignment="1">
      <alignment vertical="center" wrapText="1"/>
    </xf>
    <xf numFmtId="0" fontId="4" fillId="0" borderId="0" xfId="0" applyFont="1" applyAlignment="1">
      <alignment vertical="center" wrapText="1"/>
    </xf>
    <xf numFmtId="0" fontId="4" fillId="0" borderId="0" xfId="0" applyFont="1"/>
    <xf numFmtId="4" fontId="4" fillId="0" borderId="0" xfId="0" applyNumberFormat="1" applyFont="1" applyAlignment="1">
      <alignment vertical="center" wrapText="1"/>
    </xf>
    <xf numFmtId="4" fontId="4" fillId="0" borderId="0" xfId="0" applyNumberFormat="1" applyFont="1"/>
    <xf numFmtId="4" fontId="3" fillId="0" borderId="0" xfId="0" applyNumberFormat="1" applyFont="1"/>
    <xf numFmtId="4" fontId="0" fillId="0" borderId="0" xfId="0" applyNumberFormat="1"/>
    <xf numFmtId="0" fontId="0" fillId="0" borderId="0" xfId="0" applyAlignment="1">
      <alignment horizontal="right"/>
    </xf>
    <xf numFmtId="0" fontId="5" fillId="0" borderId="0" xfId="0" applyFont="1"/>
    <xf numFmtId="0" fontId="6" fillId="0" borderId="0" xfId="0" applyFont="1"/>
    <xf numFmtId="0" fontId="1" fillId="0" borderId="2" xfId="0" applyFont="1" applyBorder="1"/>
    <xf numFmtId="0" fontId="0" fillId="0" borderId="2" xfId="0" applyBorder="1"/>
    <xf numFmtId="4" fontId="6" fillId="0" borderId="0" xfId="0" applyNumberFormat="1" applyFont="1"/>
    <xf numFmtId="0" fontId="6" fillId="0" borderId="0" xfId="0" applyFont="1" applyAlignment="1">
      <alignment horizontal="right"/>
    </xf>
    <xf numFmtId="4" fontId="7" fillId="0" borderId="3" xfId="0" applyNumberFormat="1" applyFont="1" applyBorder="1"/>
    <xf numFmtId="4" fontId="7" fillId="0" borderId="0" xfId="0" applyNumberFormat="1" applyFont="1"/>
    <xf numFmtId="4" fontId="8" fillId="0" borderId="0" xfId="0" applyNumberFormat="1" applyFont="1"/>
    <xf numFmtId="0" fontId="8" fillId="0" borderId="0" xfId="0" applyFont="1"/>
    <xf numFmtId="0" fontId="10" fillId="0" borderId="2" xfId="0" applyFont="1" applyBorder="1"/>
    <xf numFmtId="0" fontId="9" fillId="2" borderId="2" xfId="0" applyFont="1" applyFill="1" applyBorder="1"/>
    <xf numFmtId="0" fontId="11" fillId="2" borderId="0" xfId="0" applyFont="1" applyFill="1"/>
    <xf numFmtId="0" fontId="9" fillId="2" borderId="0" xfId="0" applyFont="1" applyFill="1"/>
    <xf numFmtId="0" fontId="0" fillId="0" borderId="4" xfId="0" applyBorder="1"/>
    <xf numFmtId="3" fontId="0" fillId="0" borderId="4" xfId="0" applyNumberFormat="1" applyBorder="1"/>
    <xf numFmtId="0" fontId="0" fillId="0" borderId="5" xfId="0" applyBorder="1"/>
    <xf numFmtId="3" fontId="0" fillId="0" borderId="5" xfId="0" applyNumberFormat="1" applyBorder="1"/>
    <xf numFmtId="0" fontId="0" fillId="4" borderId="6" xfId="0" applyFill="1" applyBorder="1"/>
    <xf numFmtId="3" fontId="1" fillId="4" borderId="6" xfId="0" applyNumberFormat="1" applyFont="1" applyFill="1" applyBorder="1"/>
    <xf numFmtId="0" fontId="0" fillId="0" borderId="0" xfId="0" applyBorder="1"/>
    <xf numFmtId="0" fontId="0" fillId="4" borderId="0" xfId="0" applyFill="1"/>
    <xf numFmtId="3" fontId="0" fillId="4" borderId="4" xfId="0" applyNumberFormat="1" applyFill="1" applyBorder="1"/>
    <xf numFmtId="0" fontId="0" fillId="5" borderId="0" xfId="0" applyFill="1"/>
    <xf numFmtId="3" fontId="0" fillId="5" borderId="4" xfId="0" applyNumberFormat="1" applyFill="1" applyBorder="1"/>
    <xf numFmtId="0" fontId="0" fillId="6" borderId="0" xfId="0" applyFill="1"/>
    <xf numFmtId="3" fontId="0" fillId="6" borderId="4" xfId="0" applyNumberFormat="1" applyFill="1" applyBorder="1"/>
    <xf numFmtId="3" fontId="0" fillId="6" borderId="5" xfId="0" applyNumberFormat="1" applyFill="1" applyBorder="1"/>
    <xf numFmtId="3" fontId="0" fillId="0" borderId="0" xfId="0" applyNumberFormat="1" applyBorder="1"/>
    <xf numFmtId="0" fontId="1" fillId="0" borderId="0" xfId="0" applyFont="1" applyBorder="1"/>
    <xf numFmtId="0" fontId="13" fillId="0" borderId="0" xfId="0" applyFont="1"/>
    <xf numFmtId="164" fontId="0" fillId="0" borderId="0" xfId="0" applyNumberFormat="1" applyBorder="1"/>
    <xf numFmtId="164" fontId="16" fillId="0" borderId="0" xfId="0" applyNumberFormat="1" applyFont="1"/>
    <xf numFmtId="0" fontId="16" fillId="0" borderId="0" xfId="0" applyFont="1"/>
    <xf numFmtId="6" fontId="0" fillId="0" borderId="0" xfId="0" applyNumberFormat="1" applyBorder="1"/>
    <xf numFmtId="0" fontId="9" fillId="0" borderId="0" xfId="0" applyFont="1"/>
    <xf numFmtId="164" fontId="0" fillId="0" borderId="0" xfId="0" applyNumberFormat="1"/>
    <xf numFmtId="44" fontId="0" fillId="0" borderId="0" xfId="1" applyFont="1"/>
    <xf numFmtId="44" fontId="1" fillId="0" borderId="0" xfId="0" applyNumberFormat="1" applyFont="1"/>
    <xf numFmtId="0" fontId="1" fillId="4" borderId="0" xfId="0" applyFont="1" applyFill="1"/>
    <xf numFmtId="0" fontId="1" fillId="4" borderId="0" xfId="0" applyFont="1" applyFill="1" applyBorder="1"/>
    <xf numFmtId="164" fontId="1" fillId="4" borderId="0" xfId="0" applyNumberFormat="1" applyFont="1" applyFill="1" applyBorder="1"/>
    <xf numFmtId="0" fontId="0" fillId="4" borderId="0" xfId="0" applyFill="1" applyBorder="1"/>
    <xf numFmtId="164" fontId="0" fillId="4" borderId="0" xfId="0" applyNumberFormat="1" applyFill="1"/>
    <xf numFmtId="0" fontId="13" fillId="4" borderId="0" xfId="0" applyFont="1" applyFill="1"/>
    <xf numFmtId="0" fontId="13" fillId="4" borderId="0" xfId="0" applyFont="1" applyFill="1" applyBorder="1"/>
    <xf numFmtId="0" fontId="15" fillId="4" borderId="0" xfId="0" applyFont="1" applyFill="1"/>
    <xf numFmtId="0" fontId="15" fillId="4" borderId="0" xfId="0" applyFont="1" applyFill="1" applyBorder="1"/>
    <xf numFmtId="3" fontId="0" fillId="4" borderId="0" xfId="0" applyNumberFormat="1" applyFill="1" applyBorder="1"/>
    <xf numFmtId="3" fontId="0" fillId="5" borderId="0" xfId="0" applyNumberFormat="1" applyFill="1" applyBorder="1"/>
    <xf numFmtId="3" fontId="0" fillId="6" borderId="0" xfId="0" applyNumberFormat="1" applyFill="1" applyBorder="1"/>
    <xf numFmtId="3" fontId="0" fillId="4" borderId="0" xfId="0" applyNumberFormat="1" applyFill="1"/>
    <xf numFmtId="3" fontId="0" fillId="5" borderId="0" xfId="0" applyNumberFormat="1" applyFill="1"/>
    <xf numFmtId="0" fontId="0" fillId="5" borderId="0" xfId="0" applyFill="1" applyBorder="1"/>
    <xf numFmtId="3" fontId="0" fillId="6" borderId="0" xfId="0" applyNumberFormat="1" applyFill="1"/>
    <xf numFmtId="0" fontId="0" fillId="6" borderId="0" xfId="0" applyFill="1" applyBorder="1"/>
    <xf numFmtId="0" fontId="18" fillId="0" borderId="0" xfId="0" applyFont="1"/>
    <xf numFmtId="0" fontId="12" fillId="7" borderId="0" xfId="0" applyFont="1" applyFill="1"/>
    <xf numFmtId="0" fontId="12" fillId="0" borderId="0" xfId="0" applyFont="1"/>
    <xf numFmtId="0" fontId="13" fillId="0" borderId="0" xfId="0" applyFont="1" applyFill="1"/>
    <xf numFmtId="0" fontId="13" fillId="0" borderId="0" xfId="0" applyFont="1" applyFill="1" applyBorder="1"/>
    <xf numFmtId="0" fontId="14" fillId="0" borderId="0" xfId="0" applyFont="1"/>
    <xf numFmtId="0" fontId="20" fillId="4" borderId="0" xfId="0" applyFont="1" applyFill="1"/>
    <xf numFmtId="164" fontId="21" fillId="0" borderId="0" xfId="0" applyNumberFormat="1" applyFont="1"/>
    <xf numFmtId="3" fontId="18" fillId="5" borderId="0" xfId="0" applyNumberFormat="1" applyFont="1" applyFill="1" applyBorder="1"/>
    <xf numFmtId="3" fontId="18" fillId="0" borderId="0" xfId="0" applyNumberFormat="1" applyFont="1" applyBorder="1"/>
    <xf numFmtId="164" fontId="18" fillId="0" borderId="0" xfId="0" applyNumberFormat="1" applyFont="1" applyBorder="1"/>
    <xf numFmtId="0" fontId="22" fillId="0" borderId="0" xfId="0" applyFont="1"/>
    <xf numFmtId="0" fontId="24" fillId="0" borderId="0" xfId="0" applyFont="1"/>
    <xf numFmtId="0" fontId="24" fillId="0" borderId="0" xfId="0" applyFont="1" applyBorder="1"/>
    <xf numFmtId="0" fontId="15" fillId="0" borderId="0" xfId="0" applyFont="1" applyFill="1"/>
    <xf numFmtId="0" fontId="0" fillId="0" borderId="0" xfId="0" applyFont="1"/>
    <xf numFmtId="49" fontId="1" fillId="0" borderId="0" xfId="0" applyNumberFormat="1" applyFont="1" applyFill="1"/>
    <xf numFmtId="0" fontId="12" fillId="4" borderId="0" xfId="0" applyFont="1" applyFill="1"/>
    <xf numFmtId="0" fontId="25" fillId="4" borderId="0" xfId="0" applyFont="1" applyFill="1"/>
    <xf numFmtId="0" fontId="25" fillId="0" borderId="0" xfId="0" applyFont="1"/>
    <xf numFmtId="42" fontId="25" fillId="0" borderId="0" xfId="1" applyNumberFormat="1" applyFont="1"/>
    <xf numFmtId="42" fontId="27" fillId="0" borderId="0" xfId="0" applyNumberFormat="1" applyFont="1"/>
    <xf numFmtId="0" fontId="27" fillId="0" borderId="0" xfId="0" applyFont="1"/>
    <xf numFmtId="0" fontId="25" fillId="9" borderId="0" xfId="0" applyFont="1" applyFill="1"/>
    <xf numFmtId="0" fontId="12" fillId="9" borderId="0" xfId="0" applyFont="1" applyFill="1"/>
    <xf numFmtId="42" fontId="25" fillId="9" borderId="0" xfId="1" applyNumberFormat="1" applyFont="1" applyFill="1"/>
    <xf numFmtId="42" fontId="28" fillId="9" borderId="0" xfId="0" applyNumberFormat="1" applyFont="1" applyFill="1"/>
    <xf numFmtId="0" fontId="12" fillId="4" borderId="0" xfId="0" applyFont="1" applyFill="1" applyAlignment="1">
      <alignment horizontal="right"/>
    </xf>
    <xf numFmtId="0" fontId="12" fillId="4" borderId="0" xfId="0" applyFont="1" applyFill="1" applyAlignment="1">
      <alignment horizontal="left"/>
    </xf>
    <xf numFmtId="0" fontId="12" fillId="4" borderId="0" xfId="0" applyFont="1" applyFill="1" applyBorder="1"/>
    <xf numFmtId="0" fontId="12" fillId="0" borderId="0" xfId="0" applyFont="1" applyFill="1"/>
    <xf numFmtId="49" fontId="29" fillId="0" borderId="0" xfId="0" applyNumberFormat="1" applyFont="1" applyFill="1"/>
    <xf numFmtId="0" fontId="12" fillId="0" borderId="0" xfId="0" applyFont="1" applyFill="1" applyBorder="1"/>
    <xf numFmtId="0" fontId="25" fillId="0" borderId="0" xfId="0" applyFont="1" applyFill="1"/>
    <xf numFmtId="42" fontId="30" fillId="0" borderId="0" xfId="1" applyNumberFormat="1" applyFont="1" applyFill="1"/>
    <xf numFmtId="164" fontId="25" fillId="0" borderId="0" xfId="0" applyNumberFormat="1" applyFont="1"/>
    <xf numFmtId="0" fontId="31" fillId="0" borderId="0" xfId="0" applyFont="1"/>
    <xf numFmtId="42" fontId="31" fillId="0" borderId="0" xfId="1" applyNumberFormat="1" applyFont="1"/>
    <xf numFmtId="164" fontId="31" fillId="0" borderId="0" xfId="0" applyNumberFormat="1" applyFont="1"/>
    <xf numFmtId="6" fontId="25" fillId="0" borderId="0" xfId="0" applyNumberFormat="1" applyFont="1"/>
    <xf numFmtId="0" fontId="25" fillId="0" borderId="1" xfId="0" applyFont="1" applyBorder="1"/>
    <xf numFmtId="164" fontId="25" fillId="0" borderId="1" xfId="0" applyNumberFormat="1" applyFont="1" applyBorder="1"/>
    <xf numFmtId="42" fontId="30" fillId="0" borderId="1" xfId="1" applyNumberFormat="1" applyFont="1" applyFill="1" applyBorder="1"/>
    <xf numFmtId="42" fontId="12" fillId="0" borderId="0" xfId="1" applyNumberFormat="1" applyFont="1"/>
    <xf numFmtId="0" fontId="32" fillId="0" borderId="0" xfId="0" applyFont="1" applyAlignment="1">
      <alignment horizontal="right"/>
    </xf>
    <xf numFmtId="42" fontId="25" fillId="0" borderId="1" xfId="1" applyNumberFormat="1" applyFont="1" applyBorder="1"/>
    <xf numFmtId="42" fontId="12" fillId="0" borderId="0" xfId="0" applyNumberFormat="1" applyFont="1"/>
    <xf numFmtId="0" fontId="12" fillId="0" borderId="9" xfId="0" applyFont="1" applyBorder="1"/>
    <xf numFmtId="42" fontId="12" fillId="8" borderId="9" xfId="0" applyNumberFormat="1" applyFont="1" applyFill="1" applyBorder="1"/>
    <xf numFmtId="0" fontId="12" fillId="0" borderId="0" xfId="0" applyFont="1" applyBorder="1"/>
    <xf numFmtId="0" fontId="31" fillId="0" borderId="0" xfId="0" applyFont="1" applyBorder="1"/>
    <xf numFmtId="0" fontId="25" fillId="0" borderId="0" xfId="0" applyFont="1" applyBorder="1"/>
    <xf numFmtId="42" fontId="25" fillId="10" borderId="0" xfId="0" applyNumberFormat="1" applyFont="1" applyFill="1"/>
    <xf numFmtId="42" fontId="25" fillId="8" borderId="0" xfId="1" applyNumberFormat="1" applyFont="1" applyFill="1"/>
    <xf numFmtId="42" fontId="25" fillId="9" borderId="1" xfId="1" applyNumberFormat="1" applyFont="1" applyFill="1" applyBorder="1"/>
    <xf numFmtId="42" fontId="26" fillId="0" borderId="0" xfId="1" applyNumberFormat="1" applyFont="1"/>
    <xf numFmtId="10" fontId="12" fillId="8" borderId="0" xfId="2" applyNumberFormat="1" applyFont="1" applyFill="1"/>
    <xf numFmtId="0" fontId="12" fillId="8" borderId="0" xfId="0" applyFont="1" applyFill="1"/>
    <xf numFmtId="0" fontId="12" fillId="0" borderId="0" xfId="0" applyFont="1" applyAlignment="1">
      <alignment horizontal="right"/>
    </xf>
    <xf numFmtId="0" fontId="12" fillId="0" borderId="10" xfId="0" applyFont="1" applyBorder="1"/>
    <xf numFmtId="42" fontId="12" fillId="9" borderId="10" xfId="1" applyNumberFormat="1" applyFont="1" applyFill="1" applyBorder="1"/>
    <xf numFmtId="0" fontId="25" fillId="0" borderId="10" xfId="0" applyFont="1" applyBorder="1"/>
    <xf numFmtId="0" fontId="27" fillId="0" borderId="10" xfId="0" applyFont="1" applyBorder="1"/>
    <xf numFmtId="42" fontId="31" fillId="0" borderId="0" xfId="1" applyNumberFormat="1" applyFont="1" applyBorder="1"/>
    <xf numFmtId="0" fontId="31" fillId="0" borderId="0" xfId="0" applyFont="1" applyAlignment="1">
      <alignment wrapText="1"/>
    </xf>
    <xf numFmtId="42" fontId="12" fillId="10" borderId="0" xfId="0" applyNumberFormat="1" applyFont="1" applyFill="1" applyBorder="1"/>
    <xf numFmtId="42" fontId="25" fillId="0" borderId="0" xfId="0" applyNumberFormat="1" applyFont="1" applyFill="1"/>
    <xf numFmtId="42" fontId="25" fillId="0" borderId="0" xfId="1" applyNumberFormat="1" applyFont="1" applyFill="1" applyBorder="1"/>
    <xf numFmtId="42" fontId="25" fillId="0" borderId="1" xfId="1" applyNumberFormat="1" applyFont="1" applyFill="1" applyBorder="1"/>
    <xf numFmtId="0" fontId="12" fillId="0" borderId="1" xfId="0" applyFont="1" applyBorder="1"/>
    <xf numFmtId="0" fontId="31" fillId="0" borderId="1" xfId="0" applyFont="1" applyBorder="1" applyAlignment="1">
      <alignment wrapText="1"/>
    </xf>
    <xf numFmtId="0" fontId="12" fillId="0" borderId="11" xfId="0" applyFont="1" applyBorder="1"/>
    <xf numFmtId="42" fontId="12" fillId="0" borderId="11" xfId="0" applyNumberFormat="1" applyFont="1" applyFill="1" applyBorder="1"/>
    <xf numFmtId="0" fontId="28" fillId="0" borderId="11" xfId="0" applyFont="1" applyBorder="1"/>
    <xf numFmtId="0" fontId="25" fillId="0" borderId="0" xfId="0" applyFont="1" applyFill="1" applyBorder="1"/>
    <xf numFmtId="0" fontId="12" fillId="7" borderId="9" xfId="0" applyFont="1" applyFill="1" applyBorder="1"/>
    <xf numFmtId="42" fontId="12" fillId="7" borderId="9" xfId="0" applyNumberFormat="1" applyFont="1" applyFill="1" applyBorder="1"/>
    <xf numFmtId="0" fontId="0" fillId="4" borderId="0" xfId="0" applyFont="1" applyFill="1"/>
    <xf numFmtId="42" fontId="0" fillId="4" borderId="0" xfId="0" applyNumberFormat="1" applyFont="1" applyFill="1"/>
    <xf numFmtId="42" fontId="17" fillId="0" borderId="0" xfId="1" applyNumberFormat="1" applyFont="1"/>
    <xf numFmtId="42" fontId="9" fillId="4" borderId="0" xfId="0" applyNumberFormat="1" applyFont="1" applyFill="1"/>
    <xf numFmtId="42" fontId="19" fillId="4" borderId="0" xfId="0" applyNumberFormat="1" applyFont="1" applyFill="1"/>
    <xf numFmtId="10" fontId="19" fillId="0" borderId="0" xfId="2" applyNumberFormat="1" applyFont="1" applyFill="1"/>
    <xf numFmtId="42" fontId="33" fillId="0" borderId="0" xfId="0" applyNumberFormat="1" applyFont="1" applyFill="1" applyBorder="1" applyAlignment="1">
      <alignment horizontal="left"/>
    </xf>
    <xf numFmtId="0" fontId="0" fillId="0" borderId="0" xfId="0" applyBorder="1" applyAlignment="1">
      <alignment horizontal="right"/>
    </xf>
    <xf numFmtId="0" fontId="14" fillId="0" borderId="0" xfId="0" applyFont="1" applyAlignment="1">
      <alignment horizontal="left" wrapText="1"/>
    </xf>
    <xf numFmtId="0" fontId="12" fillId="4" borderId="7" xfId="0" applyFont="1" applyFill="1" applyBorder="1" applyAlignment="1">
      <alignment horizontal="left"/>
    </xf>
    <xf numFmtId="0" fontId="12" fillId="4" borderId="8" xfId="0" applyFont="1" applyFill="1" applyBorder="1" applyAlignment="1">
      <alignment horizontal="left"/>
    </xf>
  </cellXfs>
  <cellStyles count="3">
    <cellStyle name="Prozent" xfId="2" builtinId="5"/>
    <cellStyle name="Standard" xfId="0" builtinId="0"/>
    <cellStyle name="Währung" xfId="1"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11</xdr:col>
      <xdr:colOff>106680</xdr:colOff>
      <xdr:row>128</xdr:row>
      <xdr:rowOff>167640</xdr:rowOff>
    </xdr:from>
    <xdr:to>
      <xdr:col>18</xdr:col>
      <xdr:colOff>449580</xdr:colOff>
      <xdr:row>149</xdr:row>
      <xdr:rowOff>81002</xdr:rowOff>
    </xdr:to>
    <xdr:pic>
      <xdr:nvPicPr>
        <xdr:cNvPr id="3" name="Grafik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78340" y="5105400"/>
          <a:ext cx="5890260" cy="3769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428625</xdr:colOff>
      <xdr:row>51</xdr:row>
      <xdr:rowOff>85725</xdr:rowOff>
    </xdr:to>
    <xdr:pic>
      <xdr:nvPicPr>
        <xdr:cNvPr id="2" name="Grafik 1">
          <a:extLst>
            <a:ext uri="{FF2B5EF4-FFF2-40B4-BE49-F238E27FC236}">
              <a16:creationId xmlns:a16="http://schemas.microsoft.com/office/drawing/2014/main" id="{56BEFABA-C9F0-E10D-E3D2-529584D5B6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762625" cy="9801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68580</xdr:colOff>
      <xdr:row>25</xdr:row>
      <xdr:rowOff>68580</xdr:rowOff>
    </xdr:to>
    <xdr:pic>
      <xdr:nvPicPr>
        <xdr:cNvPr id="2" name="Grafik 1">
          <a:extLst>
            <a:ext uri="{FF2B5EF4-FFF2-40B4-BE49-F238E27FC236}">
              <a16:creationId xmlns:a16="http://schemas.microsoft.com/office/drawing/2014/main" id="{D951181D-5A7A-891F-1C9F-D8CB3D3138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93380" cy="4640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32657</xdr:colOff>
      <xdr:row>0</xdr:row>
      <xdr:rowOff>32657</xdr:rowOff>
    </xdr:from>
    <xdr:to>
      <xdr:col>16</xdr:col>
      <xdr:colOff>516467</xdr:colOff>
      <xdr:row>40</xdr:row>
      <xdr:rowOff>54428</xdr:rowOff>
    </xdr:to>
    <xdr:pic>
      <xdr:nvPicPr>
        <xdr:cNvPr id="3" name="Grafik 2">
          <a:extLst>
            <a:ext uri="{FF2B5EF4-FFF2-40B4-BE49-F238E27FC236}">
              <a16:creationId xmlns:a16="http://schemas.microsoft.com/office/drawing/2014/main" id="{F2620DFB-8257-4AC7-AAFD-013FD3E40A66}"/>
            </a:ext>
          </a:extLst>
        </xdr:cNvPr>
        <xdr:cNvPicPr>
          <a:picLocks noChangeAspect="1"/>
        </xdr:cNvPicPr>
      </xdr:nvPicPr>
      <xdr:blipFill>
        <a:blip xmlns:r="http://schemas.openxmlformats.org/officeDocument/2006/relationships" r:embed="rId1"/>
        <a:stretch>
          <a:fillRect/>
        </a:stretch>
      </xdr:blipFill>
      <xdr:spPr>
        <a:xfrm>
          <a:off x="32657" y="32657"/>
          <a:ext cx="13198324" cy="7424057"/>
        </a:xfrm>
        <a:prstGeom prst="rect">
          <a:avLst/>
        </a:prstGeom>
      </xdr:spPr>
    </xdr:pic>
    <xdr:clientData/>
  </xdr:twoCellAnchor>
  <xdr:twoCellAnchor editAs="oneCell">
    <xdr:from>
      <xdr:col>0</xdr:col>
      <xdr:colOff>0</xdr:colOff>
      <xdr:row>42</xdr:row>
      <xdr:rowOff>1</xdr:rowOff>
    </xdr:from>
    <xdr:to>
      <xdr:col>16</xdr:col>
      <xdr:colOff>533400</xdr:colOff>
      <xdr:row>82</xdr:row>
      <xdr:rowOff>49667</xdr:rowOff>
    </xdr:to>
    <xdr:pic>
      <xdr:nvPicPr>
        <xdr:cNvPr id="4" name="Grafik 3">
          <a:extLst>
            <a:ext uri="{FF2B5EF4-FFF2-40B4-BE49-F238E27FC236}">
              <a16:creationId xmlns:a16="http://schemas.microsoft.com/office/drawing/2014/main" id="{BCA767DE-3FF4-2AAC-CF79-C1B79FF50CC5}"/>
            </a:ext>
          </a:extLst>
        </xdr:cNvPr>
        <xdr:cNvPicPr>
          <a:picLocks noChangeAspect="1"/>
        </xdr:cNvPicPr>
      </xdr:nvPicPr>
      <xdr:blipFill>
        <a:blip xmlns:r="http://schemas.openxmlformats.org/officeDocument/2006/relationships" r:embed="rId2"/>
        <a:stretch>
          <a:fillRect/>
        </a:stretch>
      </xdr:blipFill>
      <xdr:spPr>
        <a:xfrm>
          <a:off x="0" y="7772401"/>
          <a:ext cx="13247914" cy="7451952"/>
        </a:xfrm>
        <a:prstGeom prst="rect">
          <a:avLst/>
        </a:prstGeom>
      </xdr:spPr>
    </xdr:pic>
    <xdr:clientData/>
  </xdr:twoCellAnchor>
  <xdr:twoCellAnchor editAs="oneCell">
    <xdr:from>
      <xdr:col>0</xdr:col>
      <xdr:colOff>1</xdr:colOff>
      <xdr:row>89</xdr:row>
      <xdr:rowOff>76200</xdr:rowOff>
    </xdr:from>
    <xdr:to>
      <xdr:col>16</xdr:col>
      <xdr:colOff>457200</xdr:colOff>
      <xdr:row>129</xdr:row>
      <xdr:rowOff>83003</xdr:rowOff>
    </xdr:to>
    <xdr:pic>
      <xdr:nvPicPr>
        <xdr:cNvPr id="5" name="Grafik 4">
          <a:extLst>
            <a:ext uri="{FF2B5EF4-FFF2-40B4-BE49-F238E27FC236}">
              <a16:creationId xmlns:a16="http://schemas.microsoft.com/office/drawing/2014/main" id="{DFF4D8EE-3753-1BBB-1AFC-771AB5CB412B}"/>
            </a:ext>
          </a:extLst>
        </xdr:cNvPr>
        <xdr:cNvPicPr>
          <a:picLocks noChangeAspect="1"/>
        </xdr:cNvPicPr>
      </xdr:nvPicPr>
      <xdr:blipFill>
        <a:blip xmlns:r="http://schemas.openxmlformats.org/officeDocument/2006/relationships" r:embed="rId3"/>
        <a:stretch>
          <a:fillRect/>
        </a:stretch>
      </xdr:blipFill>
      <xdr:spPr>
        <a:xfrm>
          <a:off x="1" y="16546286"/>
          <a:ext cx="13171713" cy="74090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419100</xdr:colOff>
      <xdr:row>35</xdr:row>
      <xdr:rowOff>160020</xdr:rowOff>
    </xdr:to>
    <xdr:pic>
      <xdr:nvPicPr>
        <xdr:cNvPr id="2" name="Grafik 1">
          <a:extLst>
            <a:ext uri="{FF2B5EF4-FFF2-40B4-BE49-F238E27FC236}">
              <a16:creationId xmlns:a16="http://schemas.microsoft.com/office/drawing/2014/main" id="{D71B7EA5-3BD4-3187-220D-D4AB65B587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381500" cy="6560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Julia Gungl" id="{A87A5859-1F90-4A2E-963C-4535BC3221E1}" userId="259c90da57684bd9" providerId="Windows Live"/>
  <person displayName="Julia Gungl" id="{1AC89A82-49E5-4E67-9BEB-AAD042B9B31A}" userId="S::julia.gungl@domus.ruhr::166dd1c2-41a5-4a5f-a17f-1bca929c0923" providerId="AD"/>
</personList>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 dT="2023-06-29T15:41:12.21" personId="{A87A5859-1F90-4A2E-963C-4535BC3221E1}" id="{850D57B5-11A6-49FF-9915-C6B6060E7948}">
    <text>Deduktive Bodenwertermittlung kann mit hinführender Bodenwertermittlung definiert werden (deduktiv abgeleitet vom lateinischen deductio für Ab-, Weg-, Hinführung). Deduktive Bodenwertermittlung wird als Verfahren benötigt, um den Verkehrswert für sogenanntes warteständiges Bauland (auch Bauerwartungsland) vorab berechnen zu können (Beispiel: Umlegung). Einflussgrößen auf einen festzustellenden Verkehrswert von baureifem, erschließungsbeitragsfreiem Bauland: Erschließungsausbaukosten (Gemeindeanteil mindestens zehn Prozent), Infrastrukturkosten, Bodenordnungskosten (Grundbuch, Vermessung, Notar), Vorhaltekosten (Zinssatz, Zinsänderungsrisiko, Wartezeit beachten), Wert unentgeltlich bereitstehender Erschließungsflächen. Entsprechende Zu-, Abschläge ergeben letztendlich den Bodenwert des wartestandigen Baulands. Synonym für deduktive Bodenwertermittlung: Residualwertverfahren.</text>
  </threadedComment>
  <threadedComment ref="H24" dT="2023-07-01T07:33:52.86" personId="{A87A5859-1F90-4A2E-963C-4535BC3221E1}" id="{111CB961-DAA9-4050-B0AF-4037BFA1D847}">
    <text>Nach der Geologischen Kartierung /2/ stehen an der Oberfläche des Untersuchungsgebietes quartäre Lösslehme an. Bei den Lössablagerungen handelt es sich um gelb-, grau-, bis rot-braune schwach tonige und schwach feinsandige Schluffe.
Im Liegenden der quartären Böden ist im Untersuchungsgebiet vorwiegend mit den sandigen bis stark sandigen Schluff- und Tonsteinen des Karbons – untergeordnet mit Sandstein - zu rechnen.
Bei Ausführung des Gebäudes ohne Unterkellerung kommen die Gründungselemente in den oberflächennah anstehenden, weichen Lösslehmen zum Liegen. Die Böden der Schicht 2 sind in den oberen rd. 3,5 m unter GOK als setzungsempfindlich einzustufen und bieten für einen konzentrierten Lasteintrag mittels Einzel- oder Streifenfundamenten keine ausreichen-den Tragfähigkeiten / Steifigkeiten bzw. es muss mit unzulässig große Setzungen / Set-zungsdifferenz des Gebäudes gerechnet werden.
Es wird daher grundsätzlich die Ausführung einer möglichst steifen Gründungsart z.B. in Form eines Fundamentrostes, vorzugsweise in Form einer lastverteilenden und statisch wirksamen Bodenplatte sowie in Verbindung mit dem Aufbau einer Tragpolsterschicht emp-fohlen.
Hinweis: Die für eine Gründung als gut tragfähig und verhältnismäßig setzungsunempfindli-chen einzustufenden Böden stehen ab einer Tiefe von rd. 3,5 m unter GOK an, so dass aus geotechnischer Sicht eine Ausführung des Gebäudes mit Keller als Vorzugsvariante anzu-sehen ist. Da gemäß /4/ eine Unterkellerung nicht vorgesehen ist, wird an dieser Stelle ledig-lich eine oberflächennahe Gründung weiterverfolgt.</text>
  </threadedComment>
  <threadedComment ref="C31" dT="2023-07-10T05:54:05.58" personId="{A87A5859-1F90-4A2E-963C-4535BC3221E1}" id="{35D4E65C-BEC9-4A36-B46B-F521C9CCDA81}">
    <text>Anteil Erschließungsfläche+Grünanlagen</text>
  </threadedComment>
  <threadedComment ref="G36" dT="2023-07-10T05:55:58.15" personId="{A87A5859-1F90-4A2E-963C-4535BC3221E1}" id="{8EDCA265-8A08-4AD2-946D-0A4EC282943B}">
    <text>Rechtskraft B-Plan besteht</text>
  </threadedComment>
  <threadedComment ref="G41" dT="2023-07-10T05:57:01.09" personId="{A87A5859-1F90-4A2E-963C-4535BC3221E1}" id="{BC5E8679-79BA-4F75-AB7D-4D12567670AF}">
    <text>fester Wert, Abzinsformel</text>
  </threadedComment>
  <threadedComment ref="G41" dT="2023-07-10T05:59:38.73" personId="{A87A5859-1F90-4A2E-963C-4535BC3221E1}" id="{F4031D35-E663-4174-B006-0FD1F3A0567E}" parentId="{BC5E8679-79BA-4F75-AB7D-4D12567670AF}">
    <text>1/ q hoch n
1/1,04 hoch 4</text>
  </threadedComment>
  <threadedComment ref="G51" dT="2023-07-10T06:02:40.51" personId="{A87A5859-1F90-4A2E-963C-4535BC3221E1}" id="{73E1F6BB-3591-4C21-BAED-22B56056EF29}">
    <text>Idealergebnis Kostendeckungsprinzip: im Ergebnis eine Null</text>
  </threadedComment>
</ThreadedComments>
</file>

<file path=xl/threadedComments/threadedComment2.xml><?xml version="1.0" encoding="utf-8"?>
<ThreadedComments xmlns="http://schemas.microsoft.com/office/spreadsheetml/2018/threadedcomments" xmlns:x="http://schemas.openxmlformats.org/spreadsheetml/2006/main">
  <threadedComment ref="D5" dT="2023-07-12T13:38:27.47" personId="{A87A5859-1F90-4A2E-963C-4535BC3221E1}" id="{F1E303C1-7521-45BD-9F8F-94DCEB12BFBE}">
    <text>Zinsen nicht berücksichtigt</text>
  </threadedComment>
  <threadedComment ref="D8" dT="2023-07-13T07:29:39.83" personId="{A87A5859-1F90-4A2E-963C-4535BC3221E1}" id="{48285BD4-2A35-47D7-B7A4-74C55C43EFDA}">
    <text>Abbruch Asphaltdeckschicht (7cm) für 8,60 €/m²; Entsorgung Asphaltdeckschicht (1 m³ entsprechen 1,8 t; 7.000 m² x 0,07 m = 490 m³; 490 m³ x 1,85 t =882 t) x 24,24 €; Abbruch Tragschicht (40 cm Schotter/Schutt; 1 m² entsprechen 1,85 t; 7000 m² x 0,4 m = 2800 m²; 2800 m³ x 1,85 t = 5180 t) x 17 € = 88.060 €; Entsorgung Tragschicht Deponiekosten 5180 t x 24,24 € = 125.563 €</text>
  </threadedComment>
  <threadedComment ref="D16" dT="2023-08-07T14:02:43.73" personId="{1AC89A82-49E5-4E67-9BEB-AAD042B9B31A}" id="{F9D0C0BA-77F6-408E-A6AC-7A58955D29C1}">
    <text>Angaben Stadt Fröndenberg aus Investitionsplan 2023: 9.875.567 €</text>
  </threadedComment>
  <threadedComment ref="B34" dT="2023-06-29T16:35:19.23" personId="{A87A5859-1F90-4A2E-963C-4535BC3221E1}" id="{899E9591-6131-4EF9-8B31-6AA90BE3F5F3}">
    <text>Einheitswert x Grundsteuermeßzahl x Hebesatz</text>
  </threadedComment>
  <threadedComment ref="B34" dT="2023-06-29T16:37:40.12" personId="{A87A5859-1F90-4A2E-963C-4535BC3221E1}" id="{E45B3EB8-14FD-417C-A06A-C17BF6F82490}" parentId="{899E9591-6131-4EF9-8B31-6AA90BE3F5F3}">
    <text>Grundsteuermeßzahl = 1% bei unbebauten Grundstücken</text>
  </threadedComment>
  <threadedComment ref="B34" dT="2023-06-29T16:37:50.51" personId="{A87A5859-1F90-4A2E-963C-4535BC3221E1}" id="{DE0FD360-451D-4228-BADC-27C45B021913}" parentId="{899E9591-6131-4EF9-8B31-6AA90BE3F5F3}">
    <text>Hebesatz Fröndenberg 695%</text>
  </threadedComment>
  <threadedComment ref="B34" dT="2023-06-29T16:50:49.48" personId="{A87A5859-1F90-4A2E-963C-4535BC3221E1}" id="{AE6B26D2-4DF4-4A23-8074-527013DC1553}" parentId="{899E9591-6131-4EF9-8B31-6AA90BE3F5F3}">
    <text>Steuermesszahl bei bebauten Grundstücken: 0,34 %</text>
  </threadedComment>
  <threadedComment ref="C35" dT="2023-06-29T16:20:29.43" personId="{A87A5859-1F90-4A2E-963C-4535BC3221E1}" id="{87EE7347-A3E6-45C7-B7CF-64082E404B94}">
    <text>15 x 100.000 € = 1.500.000, davon 15 % Gewerbesteuereinnahmen</text>
  </threadedComment>
  <threadedComment ref="D40" dT="2023-08-07T14:31:42.52" personId="{1AC89A82-49E5-4E67-9BEB-AAD042B9B31A}" id="{05522FEF-B133-41FB-A13F-A241A6C52750}">
    <text>Abschreibungen sind bei 22.500.000 € reduziert um 13.500.000 €, so dass maximal die Gewerbesteuer abgezogen wird</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50"/>
  <sheetViews>
    <sheetView tabSelected="1" zoomScale="90" zoomScaleNormal="90" workbookViewId="0">
      <selection activeCell="H24" sqref="H24"/>
    </sheetView>
  </sheetViews>
  <sheetFormatPr baseColWidth="10" defaultRowHeight="14.4" x14ac:dyDescent="0.3"/>
  <cols>
    <col min="2" max="2" width="23.109375" customWidth="1"/>
    <col min="3" max="3" width="54.88671875" bestFit="1" customWidth="1"/>
    <col min="4" max="4" width="16.33203125" bestFit="1" customWidth="1"/>
    <col min="5" max="5" width="10" customWidth="1"/>
    <col min="6" max="6" width="11" style="15" customWidth="1"/>
    <col min="7" max="7" width="17.6640625" customWidth="1"/>
    <col min="8" max="8" width="70.109375" bestFit="1" customWidth="1"/>
    <col min="9" max="9" width="13.6640625" bestFit="1" customWidth="1"/>
  </cols>
  <sheetData>
    <row r="1" spans="1:8" s="42" customFormat="1" ht="18" x14ac:dyDescent="0.35">
      <c r="A1" s="56" t="s">
        <v>221</v>
      </c>
      <c r="B1" s="56"/>
      <c r="C1" s="56"/>
      <c r="D1" s="56"/>
      <c r="E1" s="57"/>
      <c r="F1" s="57"/>
      <c r="G1" s="57"/>
      <c r="H1" s="56"/>
    </row>
    <row r="2" spans="1:8" s="42" customFormat="1" ht="18" x14ac:dyDescent="0.35">
      <c r="A2" s="56" t="s">
        <v>174</v>
      </c>
      <c r="B2" s="56"/>
      <c r="C2" s="56"/>
      <c r="D2" s="56"/>
      <c r="E2" s="57"/>
      <c r="F2" s="57"/>
      <c r="G2" s="57"/>
      <c r="H2" s="56"/>
    </row>
    <row r="3" spans="1:8" x14ac:dyDescent="0.3">
      <c r="E3" s="32"/>
      <c r="F3" s="32"/>
      <c r="G3" s="32"/>
    </row>
    <row r="4" spans="1:8" x14ac:dyDescent="0.3">
      <c r="B4" s="82" t="s">
        <v>141</v>
      </c>
      <c r="C4" s="82"/>
      <c r="D4" s="82">
        <f>Flächengegenüberstellung!E12</f>
        <v>184818</v>
      </c>
      <c r="E4" s="82" t="s">
        <v>143</v>
      </c>
      <c r="F4" s="82"/>
      <c r="G4" s="82">
        <v>100</v>
      </c>
      <c r="H4" s="82" t="s">
        <v>144</v>
      </c>
    </row>
    <row r="5" spans="1:8" x14ac:dyDescent="0.3">
      <c r="B5" s="33" t="s">
        <v>142</v>
      </c>
      <c r="C5" s="33"/>
      <c r="D5" s="63">
        <f>Flächengegenüberstellung!E4+Flächengegenüberstellung!E6</f>
        <v>108820</v>
      </c>
      <c r="E5" s="54" t="s">
        <v>143</v>
      </c>
      <c r="F5" s="54"/>
      <c r="G5" s="60">
        <f>D5*G4/D4</f>
        <v>58.879546364531592</v>
      </c>
      <c r="H5" s="54" t="s">
        <v>144</v>
      </c>
    </row>
    <row r="6" spans="1:8" x14ac:dyDescent="0.3">
      <c r="B6" s="35" t="s">
        <v>159</v>
      </c>
      <c r="C6" s="35"/>
      <c r="D6" s="64">
        <f>Flächengegenüberstellung!E2+Flächengegenüberstellung!E3+Flächengegenüberstellung!E5</f>
        <v>11298</v>
      </c>
      <c r="E6" s="65" t="s">
        <v>143</v>
      </c>
      <c r="F6" s="65"/>
      <c r="G6" s="61">
        <f>D6*G4/D4</f>
        <v>6.1130409375710162</v>
      </c>
      <c r="H6" s="65" t="s">
        <v>144</v>
      </c>
    </row>
    <row r="7" spans="1:8" x14ac:dyDescent="0.3">
      <c r="B7" s="37" t="s">
        <v>153</v>
      </c>
      <c r="C7" s="37"/>
      <c r="D7" s="66">
        <f>Flächengegenüberstellung!E11+Flächengegenüberstellung!E10+Flächengegenüberstellung!E9+Flächengegenüberstellung!E8+Flächengegenüberstellung!E7</f>
        <v>64700</v>
      </c>
      <c r="E7" s="67" t="s">
        <v>143</v>
      </c>
      <c r="F7" s="67"/>
      <c r="G7" s="62">
        <f>D7*G4/D4</f>
        <v>35.007412697897394</v>
      </c>
      <c r="H7" s="67" t="s">
        <v>144</v>
      </c>
    </row>
    <row r="8" spans="1:8" x14ac:dyDescent="0.3">
      <c r="E8" s="32"/>
      <c r="F8" s="32"/>
      <c r="G8" s="32"/>
    </row>
    <row r="9" spans="1:8" x14ac:dyDescent="0.3">
      <c r="B9" s="58" t="s">
        <v>145</v>
      </c>
      <c r="C9" s="58"/>
      <c r="D9" s="58"/>
      <c r="E9" s="59"/>
      <c r="F9" s="59"/>
      <c r="G9" s="59"/>
      <c r="H9" s="33"/>
    </row>
    <row r="10" spans="1:8" hidden="1" x14ac:dyDescent="0.3">
      <c r="E10" s="32"/>
      <c r="F10" s="32"/>
      <c r="G10" s="32"/>
    </row>
    <row r="11" spans="1:8" x14ac:dyDescent="0.3">
      <c r="B11" t="s">
        <v>146</v>
      </c>
      <c r="E11" s="32"/>
      <c r="F11" s="32"/>
      <c r="G11" s="32">
        <v>45</v>
      </c>
      <c r="H11" s="32" t="s">
        <v>70</v>
      </c>
    </row>
    <row r="12" spans="1:8" x14ac:dyDescent="0.3">
      <c r="E12" s="32"/>
      <c r="F12" s="32"/>
      <c r="G12" s="32"/>
      <c r="H12" s="32"/>
    </row>
    <row r="13" spans="1:8" x14ac:dyDescent="0.3">
      <c r="B13" t="s">
        <v>147</v>
      </c>
      <c r="E13" s="32"/>
      <c r="F13" s="32"/>
      <c r="G13" s="32">
        <v>0</v>
      </c>
      <c r="H13" s="32" t="s">
        <v>70</v>
      </c>
    </row>
    <row r="14" spans="1:8" x14ac:dyDescent="0.3">
      <c r="E14" s="32"/>
      <c r="F14" s="32"/>
      <c r="G14" s="32"/>
    </row>
    <row r="15" spans="1:8" x14ac:dyDescent="0.3">
      <c r="B15" t="s">
        <v>148</v>
      </c>
      <c r="E15" s="32"/>
      <c r="F15" s="32"/>
      <c r="G15" s="32"/>
    </row>
    <row r="16" spans="1:8" x14ac:dyDescent="0.3">
      <c r="C16" t="s">
        <v>149</v>
      </c>
      <c r="D16" s="44">
        <v>960000</v>
      </c>
      <c r="E16" s="60">
        <f>D5</f>
        <v>108820</v>
      </c>
      <c r="F16" s="40" t="s">
        <v>143</v>
      </c>
      <c r="G16" s="43">
        <f>-D16/E16</f>
        <v>-8.8219077375482442</v>
      </c>
      <c r="H16" s="45" t="s">
        <v>158</v>
      </c>
    </row>
    <row r="17" spans="2:8" x14ac:dyDescent="0.3">
      <c r="C17" s="68" t="s">
        <v>150</v>
      </c>
      <c r="D17" s="75">
        <v>300</v>
      </c>
      <c r="E17" s="76">
        <f>D6</f>
        <v>11298</v>
      </c>
      <c r="F17" s="77" t="s">
        <v>143</v>
      </c>
      <c r="G17" s="78">
        <f>(D17*E17)/-D5</f>
        <v>-31.146848005881271</v>
      </c>
      <c r="H17" s="68" t="s">
        <v>228</v>
      </c>
    </row>
    <row r="18" spans="2:8" x14ac:dyDescent="0.3">
      <c r="C18" s="68" t="s">
        <v>229</v>
      </c>
      <c r="D18" s="44">
        <f>7025*42</f>
        <v>295050</v>
      </c>
      <c r="E18" s="60">
        <f>D5</f>
        <v>108820</v>
      </c>
      <c r="F18" s="40" t="s">
        <v>143</v>
      </c>
      <c r="G18" s="43">
        <f>-D18/E18</f>
        <v>-2.7113582062120933</v>
      </c>
      <c r="H18" t="s">
        <v>222</v>
      </c>
    </row>
    <row r="19" spans="2:8" x14ac:dyDescent="0.3">
      <c r="C19" s="68" t="s">
        <v>197</v>
      </c>
      <c r="D19" s="75">
        <v>150000</v>
      </c>
      <c r="E19" s="60">
        <f>D5</f>
        <v>108820</v>
      </c>
      <c r="F19" s="40" t="s">
        <v>143</v>
      </c>
      <c r="G19" s="43">
        <f>-D19/E19</f>
        <v>-1.3784230839919132</v>
      </c>
      <c r="H19" s="68" t="s">
        <v>228</v>
      </c>
    </row>
    <row r="20" spans="2:8" x14ac:dyDescent="0.3">
      <c r="C20" t="s">
        <v>151</v>
      </c>
      <c r="D20" s="44">
        <v>30</v>
      </c>
      <c r="E20" s="62">
        <f>D7</f>
        <v>64700</v>
      </c>
      <c r="F20" s="40" t="s">
        <v>143</v>
      </c>
      <c r="G20" s="43">
        <f>(-E20*D20)/D5</f>
        <v>-17.836794706855358</v>
      </c>
      <c r="H20" s="68" t="s">
        <v>228</v>
      </c>
    </row>
    <row r="21" spans="2:8" x14ac:dyDescent="0.3">
      <c r="C21" t="s">
        <v>152</v>
      </c>
      <c r="D21" s="44">
        <v>826000</v>
      </c>
      <c r="E21" s="60">
        <f>D5</f>
        <v>108820</v>
      </c>
      <c r="F21" s="40" t="s">
        <v>143</v>
      </c>
      <c r="G21" s="43">
        <f>-D21/E21</f>
        <v>-7.590516449182136</v>
      </c>
      <c r="H21" s="45" t="s">
        <v>158</v>
      </c>
    </row>
    <row r="22" spans="2:8" x14ac:dyDescent="0.3">
      <c r="C22" t="s">
        <v>154</v>
      </c>
      <c r="E22" s="32"/>
      <c r="F22" s="32"/>
      <c r="G22" s="46">
        <v>0</v>
      </c>
    </row>
    <row r="23" spans="2:8" x14ac:dyDescent="0.3">
      <c r="C23" t="s">
        <v>160</v>
      </c>
      <c r="D23" s="44">
        <v>1600000</v>
      </c>
      <c r="E23" s="60">
        <f>D5</f>
        <v>108820</v>
      </c>
      <c r="F23" s="40" t="s">
        <v>143</v>
      </c>
      <c r="G23" s="43">
        <f>-D23/E23</f>
        <v>-14.703179562580408</v>
      </c>
      <c r="H23" s="45" t="s">
        <v>161</v>
      </c>
    </row>
    <row r="24" spans="2:8" x14ac:dyDescent="0.3">
      <c r="C24" t="s">
        <v>155</v>
      </c>
      <c r="E24" s="32"/>
      <c r="F24" s="32"/>
      <c r="G24" s="32"/>
      <c r="H24" s="68" t="s">
        <v>182</v>
      </c>
    </row>
    <row r="25" spans="2:8" x14ac:dyDescent="0.3">
      <c r="C25" t="s">
        <v>156</v>
      </c>
      <c r="E25" s="32"/>
      <c r="F25" s="32"/>
      <c r="G25" s="46">
        <v>0</v>
      </c>
    </row>
    <row r="26" spans="2:8" x14ac:dyDescent="0.3">
      <c r="C26" t="s">
        <v>157</v>
      </c>
      <c r="D26" s="44">
        <v>450000</v>
      </c>
      <c r="E26" s="60">
        <f>E16</f>
        <v>108820</v>
      </c>
      <c r="F26" s="40" t="s">
        <v>143</v>
      </c>
      <c r="G26" s="43">
        <f>-D26/E26</f>
        <v>-4.1352692519757399</v>
      </c>
      <c r="H26" s="68" t="s">
        <v>228</v>
      </c>
    </row>
    <row r="27" spans="2:8" hidden="1" x14ac:dyDescent="0.3">
      <c r="E27" s="32"/>
      <c r="F27" s="32"/>
      <c r="G27" s="32"/>
    </row>
    <row r="28" spans="2:8" x14ac:dyDescent="0.3">
      <c r="B28" s="51" t="s">
        <v>162</v>
      </c>
      <c r="C28" s="51"/>
      <c r="D28" s="51"/>
      <c r="E28" s="52"/>
      <c r="F28" s="52"/>
      <c r="G28" s="53">
        <f>SUM(G11:G26)</f>
        <v>-43.324297004227162</v>
      </c>
      <c r="H28" s="51"/>
    </row>
    <row r="29" spans="2:8" hidden="1" x14ac:dyDescent="0.3">
      <c r="E29" s="32"/>
      <c r="F29" s="32"/>
      <c r="G29" s="32"/>
    </row>
    <row r="30" spans="2:8" x14ac:dyDescent="0.3">
      <c r="B30" t="s">
        <v>163</v>
      </c>
      <c r="E30" s="32"/>
      <c r="F30" s="32"/>
      <c r="G30" s="32"/>
    </row>
    <row r="31" spans="2:8" x14ac:dyDescent="0.3">
      <c r="C31" t="s">
        <v>164</v>
      </c>
      <c r="E31" s="32"/>
      <c r="F31" s="32"/>
      <c r="G31" s="48">
        <f>G28*41/100</f>
        <v>-17.762961771733139</v>
      </c>
    </row>
    <row r="32" spans="2:8" hidden="1" x14ac:dyDescent="0.3">
      <c r="E32" s="32"/>
      <c r="F32" s="32"/>
      <c r="G32" s="32"/>
    </row>
    <row r="33" spans="2:8" x14ac:dyDescent="0.3">
      <c r="B33" s="51" t="s">
        <v>201</v>
      </c>
      <c r="C33" s="33"/>
      <c r="D33" s="33"/>
      <c r="E33" s="54"/>
      <c r="F33" s="54"/>
      <c r="G33" s="53">
        <f>(G28*D5)/D4</f>
        <v>-25.509149541711306</v>
      </c>
      <c r="H33" s="55"/>
    </row>
    <row r="34" spans="2:8" hidden="1" x14ac:dyDescent="0.3">
      <c r="E34" s="32"/>
      <c r="F34" s="32"/>
      <c r="G34" s="32"/>
    </row>
    <row r="35" spans="2:8" x14ac:dyDescent="0.3">
      <c r="B35" t="s">
        <v>165</v>
      </c>
      <c r="E35" s="32"/>
      <c r="F35" s="32"/>
      <c r="G35" s="32"/>
    </row>
    <row r="36" spans="2:8" x14ac:dyDescent="0.3">
      <c r="C36" t="s">
        <v>166</v>
      </c>
      <c r="E36" s="32"/>
      <c r="F36" s="32"/>
      <c r="G36" s="46">
        <v>0</v>
      </c>
      <c r="H36" s="47"/>
    </row>
    <row r="37" spans="2:8" hidden="1" x14ac:dyDescent="0.3">
      <c r="E37" s="32"/>
      <c r="F37" s="32"/>
      <c r="G37" s="32"/>
    </row>
    <row r="38" spans="2:8" x14ac:dyDescent="0.3">
      <c r="B38" s="51" t="s">
        <v>167</v>
      </c>
      <c r="C38" s="33"/>
      <c r="D38" s="33"/>
      <c r="E38" s="54"/>
      <c r="F38" s="54"/>
      <c r="G38" s="53">
        <f>G33-G36</f>
        <v>-25.509149541711306</v>
      </c>
      <c r="H38" s="33"/>
    </row>
    <row r="39" spans="2:8" hidden="1" x14ac:dyDescent="0.3">
      <c r="E39" s="32"/>
      <c r="F39" s="32"/>
      <c r="G39" s="32"/>
    </row>
    <row r="40" spans="2:8" x14ac:dyDescent="0.3">
      <c r="B40" t="s">
        <v>168</v>
      </c>
      <c r="E40" s="32"/>
      <c r="F40" s="32"/>
      <c r="G40" s="32"/>
    </row>
    <row r="41" spans="2:8" x14ac:dyDescent="0.3">
      <c r="C41" t="s">
        <v>169</v>
      </c>
      <c r="E41" s="32"/>
      <c r="F41" s="32"/>
      <c r="G41" s="152">
        <v>0.8548</v>
      </c>
      <c r="H41" s="153" t="s">
        <v>204</v>
      </c>
    </row>
    <row r="42" spans="2:8" x14ac:dyDescent="0.3">
      <c r="C42" t="s">
        <v>170</v>
      </c>
      <c r="E42" s="32"/>
      <c r="F42" s="32"/>
      <c r="G42" s="152"/>
      <c r="H42" s="153"/>
    </row>
    <row r="43" spans="2:8" hidden="1" x14ac:dyDescent="0.3">
      <c r="E43" s="32"/>
      <c r="F43" s="32"/>
      <c r="G43" s="32"/>
    </row>
    <row r="44" spans="2:8" x14ac:dyDescent="0.3">
      <c r="B44" s="51" t="s">
        <v>171</v>
      </c>
      <c r="C44" s="33"/>
      <c r="D44" s="33"/>
      <c r="E44" s="54"/>
      <c r="F44" s="54"/>
      <c r="G44" s="53">
        <f>G38/G41</f>
        <v>-29.842243263583651</v>
      </c>
      <c r="H44" s="33"/>
    </row>
    <row r="45" spans="2:8" x14ac:dyDescent="0.3">
      <c r="C45" t="s">
        <v>202</v>
      </c>
      <c r="E45" s="32"/>
      <c r="F45" s="43">
        <f>G44*1.015</f>
        <v>-30.289876912537402</v>
      </c>
      <c r="G45" s="48">
        <f>F45-G44</f>
        <v>-0.44763364895375091</v>
      </c>
      <c r="H45" s="73" t="s">
        <v>205</v>
      </c>
    </row>
    <row r="46" spans="2:8" hidden="1" x14ac:dyDescent="0.3">
      <c r="E46" s="32"/>
      <c r="F46" s="32"/>
      <c r="G46" s="32"/>
    </row>
    <row r="47" spans="2:8" x14ac:dyDescent="0.3">
      <c r="B47" s="51" t="s">
        <v>172</v>
      </c>
      <c r="C47" s="33"/>
      <c r="D47" s="33"/>
      <c r="E47" s="54"/>
      <c r="F47" s="54"/>
      <c r="G47" s="53">
        <f>G44+G45</f>
        <v>-30.289876912537402</v>
      </c>
      <c r="H47" s="33"/>
    </row>
    <row r="48" spans="2:8" x14ac:dyDescent="0.3">
      <c r="E48" s="32"/>
      <c r="F48" s="32"/>
      <c r="G48" s="32"/>
    </row>
    <row r="49" spans="2:8" x14ac:dyDescent="0.3">
      <c r="B49" s="51" t="s">
        <v>173</v>
      </c>
      <c r="C49" s="33"/>
      <c r="D49" s="33"/>
      <c r="E49" s="54"/>
      <c r="F49" s="54"/>
      <c r="G49" s="53">
        <f>G47*D4</f>
        <v>-5598114.4712213371</v>
      </c>
      <c r="H49" s="74" t="s">
        <v>223</v>
      </c>
    </row>
    <row r="50" spans="2:8" x14ac:dyDescent="0.3">
      <c r="E50" s="32"/>
      <c r="F50" s="32"/>
      <c r="G50" s="32"/>
    </row>
    <row r="51" spans="2:8" s="80" customFormat="1" ht="18" x14ac:dyDescent="0.35">
      <c r="B51" s="79" t="s">
        <v>243</v>
      </c>
      <c r="E51" s="81"/>
      <c r="F51" s="81"/>
      <c r="G51" s="81"/>
    </row>
    <row r="52" spans="2:8" x14ac:dyDescent="0.3">
      <c r="E52" s="32"/>
      <c r="F52" s="32"/>
      <c r="G52" s="43"/>
    </row>
    <row r="53" spans="2:8" x14ac:dyDescent="0.3">
      <c r="B53" s="47"/>
      <c r="E53" s="32"/>
      <c r="F53" s="32"/>
      <c r="G53" s="32"/>
    </row>
    <row r="54" spans="2:8" x14ac:dyDescent="0.3">
      <c r="E54" s="32"/>
      <c r="F54" s="32"/>
      <c r="G54" s="32"/>
    </row>
    <row r="55" spans="2:8" x14ac:dyDescent="0.3">
      <c r="E55" s="32"/>
      <c r="F55" s="32"/>
      <c r="G55" s="32"/>
    </row>
    <row r="56" spans="2:8" x14ac:dyDescent="0.3">
      <c r="E56" s="32"/>
      <c r="F56" s="32"/>
      <c r="G56" s="32"/>
    </row>
    <row r="57" spans="2:8" x14ac:dyDescent="0.3">
      <c r="E57" s="32"/>
      <c r="F57" s="32"/>
      <c r="G57" s="32"/>
    </row>
    <row r="58" spans="2:8" x14ac:dyDescent="0.3">
      <c r="E58" s="32"/>
      <c r="F58" s="32"/>
      <c r="G58" s="32"/>
    </row>
    <row r="59" spans="2:8" x14ac:dyDescent="0.3">
      <c r="E59" s="32"/>
      <c r="F59" s="32"/>
      <c r="G59" s="32"/>
    </row>
    <row r="60" spans="2:8" x14ac:dyDescent="0.3">
      <c r="E60" s="32"/>
      <c r="F60" s="32"/>
      <c r="G60" s="32"/>
    </row>
    <row r="61" spans="2:8" x14ac:dyDescent="0.3">
      <c r="E61" s="32"/>
      <c r="F61" s="32"/>
      <c r="G61" s="32"/>
    </row>
    <row r="62" spans="2:8" x14ac:dyDescent="0.3">
      <c r="E62" s="32"/>
      <c r="F62" s="32"/>
      <c r="G62" s="32"/>
    </row>
    <row r="63" spans="2:8" x14ac:dyDescent="0.3">
      <c r="E63" s="32"/>
      <c r="F63" s="32"/>
      <c r="G63" s="32"/>
    </row>
    <row r="64" spans="2:8" x14ac:dyDescent="0.3">
      <c r="E64" s="32"/>
      <c r="F64" s="32"/>
      <c r="G64" s="32"/>
    </row>
    <row r="65" spans="5:7" x14ac:dyDescent="0.3">
      <c r="E65" s="32"/>
      <c r="F65" s="32"/>
      <c r="G65" s="32"/>
    </row>
    <row r="66" spans="5:7" x14ac:dyDescent="0.3">
      <c r="E66" s="32"/>
      <c r="F66" s="32"/>
      <c r="G66" s="32"/>
    </row>
    <row r="67" spans="5:7" x14ac:dyDescent="0.3">
      <c r="E67" s="32"/>
      <c r="F67" s="32"/>
      <c r="G67" s="32"/>
    </row>
    <row r="68" spans="5:7" x14ac:dyDescent="0.3">
      <c r="E68" s="32"/>
      <c r="F68" s="32"/>
      <c r="G68" s="32"/>
    </row>
    <row r="69" spans="5:7" x14ac:dyDescent="0.3">
      <c r="E69" s="32"/>
      <c r="F69" s="32"/>
      <c r="G69" s="32"/>
    </row>
    <row r="70" spans="5:7" x14ac:dyDescent="0.3">
      <c r="E70" s="32"/>
      <c r="F70" s="32"/>
      <c r="G70" s="32"/>
    </row>
    <row r="71" spans="5:7" x14ac:dyDescent="0.3">
      <c r="E71" s="32"/>
      <c r="F71" s="32"/>
      <c r="G71" s="32"/>
    </row>
    <row r="72" spans="5:7" x14ac:dyDescent="0.3">
      <c r="E72" s="32"/>
      <c r="F72" s="32"/>
      <c r="G72" s="32"/>
    </row>
    <row r="73" spans="5:7" x14ac:dyDescent="0.3">
      <c r="E73" s="32"/>
      <c r="F73" s="32"/>
      <c r="G73" s="32"/>
    </row>
    <row r="74" spans="5:7" x14ac:dyDescent="0.3">
      <c r="E74" s="32"/>
      <c r="F74" s="32"/>
      <c r="G74" s="32"/>
    </row>
    <row r="75" spans="5:7" x14ac:dyDescent="0.3">
      <c r="E75" s="32"/>
      <c r="F75" s="32"/>
      <c r="G75" s="32"/>
    </row>
    <row r="76" spans="5:7" x14ac:dyDescent="0.3">
      <c r="E76" s="32"/>
      <c r="F76" s="32"/>
      <c r="G76" s="32"/>
    </row>
    <row r="77" spans="5:7" x14ac:dyDescent="0.3">
      <c r="E77" s="32"/>
      <c r="F77" s="32"/>
      <c r="G77" s="32"/>
    </row>
    <row r="78" spans="5:7" x14ac:dyDescent="0.3">
      <c r="E78" s="32"/>
      <c r="F78" s="32"/>
      <c r="G78" s="32"/>
    </row>
    <row r="79" spans="5:7" x14ac:dyDescent="0.3">
      <c r="E79" s="32"/>
      <c r="F79" s="32"/>
      <c r="G79" s="32"/>
    </row>
    <row r="80" spans="5:7" x14ac:dyDescent="0.3">
      <c r="E80" s="32"/>
      <c r="F80" s="32"/>
      <c r="G80" s="32"/>
    </row>
    <row r="81" spans="5:7" x14ac:dyDescent="0.3">
      <c r="E81" s="32"/>
      <c r="F81" s="32"/>
      <c r="G81" s="32"/>
    </row>
    <row r="82" spans="5:7" x14ac:dyDescent="0.3">
      <c r="E82" s="32"/>
      <c r="F82" s="32"/>
      <c r="G82" s="32"/>
    </row>
    <row r="83" spans="5:7" x14ac:dyDescent="0.3">
      <c r="E83" s="32"/>
      <c r="F83" s="32"/>
      <c r="G83" s="32"/>
    </row>
    <row r="84" spans="5:7" x14ac:dyDescent="0.3">
      <c r="E84" s="32"/>
      <c r="F84" s="32"/>
      <c r="G84" s="32"/>
    </row>
    <row r="85" spans="5:7" x14ac:dyDescent="0.3">
      <c r="E85" s="32"/>
      <c r="F85" s="32"/>
      <c r="G85" s="32"/>
    </row>
    <row r="86" spans="5:7" x14ac:dyDescent="0.3">
      <c r="E86" s="32"/>
      <c r="F86" s="32"/>
      <c r="G86" s="32"/>
    </row>
    <row r="87" spans="5:7" x14ac:dyDescent="0.3">
      <c r="E87" s="32"/>
      <c r="F87" s="32"/>
      <c r="G87" s="32"/>
    </row>
    <row r="88" spans="5:7" x14ac:dyDescent="0.3">
      <c r="E88" s="32"/>
      <c r="F88" s="32"/>
      <c r="G88" s="32"/>
    </row>
    <row r="89" spans="5:7" x14ac:dyDescent="0.3">
      <c r="E89" s="32"/>
      <c r="F89" s="32"/>
      <c r="G89" s="32"/>
    </row>
    <row r="90" spans="5:7" x14ac:dyDescent="0.3">
      <c r="E90" s="32"/>
      <c r="F90" s="32"/>
      <c r="G90" s="32"/>
    </row>
    <row r="91" spans="5:7" x14ac:dyDescent="0.3">
      <c r="E91" s="32"/>
      <c r="F91" s="32"/>
      <c r="G91" s="32"/>
    </row>
    <row r="92" spans="5:7" x14ac:dyDescent="0.3">
      <c r="E92" s="32"/>
      <c r="F92" s="32"/>
      <c r="G92" s="32"/>
    </row>
    <row r="93" spans="5:7" x14ac:dyDescent="0.3">
      <c r="E93" s="32"/>
      <c r="F93" s="32"/>
      <c r="G93" s="32"/>
    </row>
    <row r="94" spans="5:7" x14ac:dyDescent="0.3">
      <c r="E94" s="32"/>
      <c r="F94" s="32"/>
      <c r="G94" s="32"/>
    </row>
    <row r="95" spans="5:7" x14ac:dyDescent="0.3">
      <c r="E95" s="32"/>
      <c r="F95" s="32"/>
      <c r="G95" s="32"/>
    </row>
    <row r="96" spans="5:7" x14ac:dyDescent="0.3">
      <c r="E96" s="32"/>
      <c r="F96" s="32"/>
      <c r="G96" s="32"/>
    </row>
    <row r="97" spans="2:8" x14ac:dyDescent="0.3">
      <c r="E97" s="32"/>
      <c r="F97" s="32"/>
      <c r="G97" s="32"/>
    </row>
    <row r="101" spans="2:8" s="1" customFormat="1" x14ac:dyDescent="0.3">
      <c r="B101" s="1" t="s">
        <v>3</v>
      </c>
      <c r="F101" s="14" t="s">
        <v>4</v>
      </c>
    </row>
    <row r="103" spans="2:8" x14ac:dyDescent="0.3">
      <c r="B103" t="s">
        <v>0</v>
      </c>
      <c r="F103" s="15" t="s">
        <v>68</v>
      </c>
    </row>
    <row r="105" spans="2:8" x14ac:dyDescent="0.3">
      <c r="B105" t="s">
        <v>1</v>
      </c>
      <c r="F105" s="22" t="s">
        <v>5</v>
      </c>
      <c r="H105" s="12" t="s">
        <v>83</v>
      </c>
    </row>
    <row r="106" spans="2:8" x14ac:dyDescent="0.3">
      <c r="H106" s="12"/>
    </row>
    <row r="107" spans="2:8" x14ac:dyDescent="0.3">
      <c r="B107" t="s">
        <v>2</v>
      </c>
      <c r="F107" s="15" t="s">
        <v>6</v>
      </c>
      <c r="H107" s="12" t="s">
        <v>83</v>
      </c>
    </row>
    <row r="109" spans="2:8" x14ac:dyDescent="0.3">
      <c r="F109" s="15" t="s">
        <v>102</v>
      </c>
      <c r="G109" t="s">
        <v>103</v>
      </c>
    </row>
    <row r="114" spans="1:11" x14ac:dyDescent="0.3">
      <c r="B114" t="s">
        <v>63</v>
      </c>
      <c r="C114" s="10">
        <f>Flächenübersicht!J27</f>
        <v>194620</v>
      </c>
    </row>
    <row r="115" spans="1:11" x14ac:dyDescent="0.3">
      <c r="B115" s="12" t="s">
        <v>86</v>
      </c>
      <c r="G115" s="10"/>
      <c r="H115" s="10"/>
      <c r="I115" s="10"/>
    </row>
    <row r="116" spans="1:11" x14ac:dyDescent="0.3">
      <c r="A116" t="s">
        <v>64</v>
      </c>
      <c r="B116" t="s">
        <v>65</v>
      </c>
      <c r="C116" s="16">
        <v>74000</v>
      </c>
      <c r="D116" s="13" t="s">
        <v>96</v>
      </c>
      <c r="E116" s="13"/>
      <c r="G116" s="10">
        <f>C116*G125</f>
        <v>4810000</v>
      </c>
      <c r="H116" s="10"/>
      <c r="I116" s="10">
        <f>C116*J126</f>
        <v>2220000</v>
      </c>
    </row>
    <row r="117" spans="1:11" x14ac:dyDescent="0.3">
      <c r="B117" s="25" t="s">
        <v>122</v>
      </c>
    </row>
    <row r="118" spans="1:11" x14ac:dyDescent="0.3">
      <c r="B118" t="s">
        <v>71</v>
      </c>
    </row>
    <row r="119" spans="1:11" x14ac:dyDescent="0.3">
      <c r="B119" s="11" t="s">
        <v>72</v>
      </c>
      <c r="E119" s="20">
        <v>750000</v>
      </c>
    </row>
    <row r="124" spans="1:11" x14ac:dyDescent="0.3">
      <c r="C124" t="s">
        <v>70</v>
      </c>
      <c r="G124" t="s">
        <v>70</v>
      </c>
      <c r="J124" t="s">
        <v>70</v>
      </c>
    </row>
    <row r="125" spans="1:11" x14ac:dyDescent="0.3">
      <c r="B125" t="s">
        <v>66</v>
      </c>
      <c r="C125" s="12" t="s">
        <v>97</v>
      </c>
      <c r="F125" s="15" t="s">
        <v>69</v>
      </c>
      <c r="G125" s="10">
        <v>65</v>
      </c>
      <c r="I125" t="s">
        <v>73</v>
      </c>
      <c r="J125" s="10" t="s">
        <v>77</v>
      </c>
      <c r="K125" t="s">
        <v>78</v>
      </c>
    </row>
    <row r="126" spans="1:11" x14ac:dyDescent="0.3">
      <c r="B126" s="12" t="s">
        <v>85</v>
      </c>
      <c r="G126" s="10">
        <v>70</v>
      </c>
      <c r="I126" t="s">
        <v>22</v>
      </c>
      <c r="J126" s="10">
        <v>30</v>
      </c>
      <c r="K126" s="10">
        <v>30</v>
      </c>
    </row>
    <row r="127" spans="1:11" x14ac:dyDescent="0.3">
      <c r="B127" t="s">
        <v>67</v>
      </c>
      <c r="I127" t="s">
        <v>74</v>
      </c>
      <c r="J127" s="10">
        <v>30</v>
      </c>
      <c r="K127" s="10">
        <v>30</v>
      </c>
    </row>
    <row r="128" spans="1:11" x14ac:dyDescent="0.3">
      <c r="B128" s="12" t="s">
        <v>84</v>
      </c>
      <c r="E128" s="21" t="s">
        <v>95</v>
      </c>
      <c r="J128" s="10"/>
      <c r="K128" s="10"/>
    </row>
    <row r="129" spans="2:11" x14ac:dyDescent="0.3">
      <c r="B129" s="11" t="s">
        <v>79</v>
      </c>
      <c r="C129" s="16">
        <v>18.899999999999999</v>
      </c>
      <c r="D129" s="16">
        <f>C116*C129</f>
        <v>1398600</v>
      </c>
      <c r="E129" s="20">
        <v>415000</v>
      </c>
      <c r="I129" t="s">
        <v>75</v>
      </c>
      <c r="J129" s="10">
        <v>35</v>
      </c>
      <c r="K129" s="10">
        <v>70</v>
      </c>
    </row>
    <row r="130" spans="2:11" x14ac:dyDescent="0.3">
      <c r="B130" s="11" t="s">
        <v>90</v>
      </c>
      <c r="C130" s="16">
        <v>33.799999999999997</v>
      </c>
      <c r="D130" s="16">
        <f>C116*C130</f>
        <v>2501200</v>
      </c>
      <c r="E130" s="20">
        <v>750000</v>
      </c>
      <c r="I130" t="s">
        <v>76</v>
      </c>
      <c r="J130" s="10">
        <v>40</v>
      </c>
      <c r="K130" s="10">
        <v>120</v>
      </c>
    </row>
    <row r="131" spans="2:11" x14ac:dyDescent="0.3">
      <c r="B131" s="11" t="s">
        <v>91</v>
      </c>
      <c r="C131" s="16">
        <v>8.6999999999999993</v>
      </c>
      <c r="D131" s="16">
        <f>C116*C131</f>
        <v>643800</v>
      </c>
      <c r="E131" s="16"/>
      <c r="J131" s="10"/>
      <c r="K131" s="10"/>
    </row>
    <row r="132" spans="2:11" x14ac:dyDescent="0.3">
      <c r="B132" s="11" t="s">
        <v>126</v>
      </c>
      <c r="C132" s="16"/>
      <c r="D132" s="16">
        <v>1600000</v>
      </c>
      <c r="E132" s="16"/>
      <c r="J132" s="10"/>
      <c r="K132" s="10"/>
    </row>
    <row r="133" spans="2:11" x14ac:dyDescent="0.3">
      <c r="B133" s="11" t="s">
        <v>80</v>
      </c>
      <c r="C133" s="17" t="s">
        <v>92</v>
      </c>
      <c r="F133" s="23" t="s">
        <v>98</v>
      </c>
    </row>
    <row r="134" spans="2:11" x14ac:dyDescent="0.3">
      <c r="B134" s="11" t="s">
        <v>81</v>
      </c>
      <c r="C134" s="17" t="s">
        <v>92</v>
      </c>
      <c r="F134" s="15" t="s">
        <v>106</v>
      </c>
    </row>
    <row r="135" spans="2:11" x14ac:dyDescent="0.3">
      <c r="B135" s="11" t="s">
        <v>82</v>
      </c>
      <c r="C135" s="17" t="s">
        <v>92</v>
      </c>
      <c r="F135" s="15" t="s">
        <v>107</v>
      </c>
    </row>
    <row r="136" spans="2:11" x14ac:dyDescent="0.3">
      <c r="B136" s="11" t="s">
        <v>93</v>
      </c>
      <c r="C136" s="16">
        <v>28.4</v>
      </c>
      <c r="D136" s="16">
        <f>C116*C136</f>
        <v>2101600</v>
      </c>
      <c r="E136" s="16"/>
    </row>
    <row r="137" spans="2:11" ht="15" thickBot="1" x14ac:dyDescent="0.35">
      <c r="D137" s="18">
        <f>SUM(D129:D136)</f>
        <v>8245200</v>
      </c>
      <c r="E137" s="19"/>
    </row>
    <row r="138" spans="2:11" ht="15" thickTop="1" x14ac:dyDescent="0.3"/>
    <row r="139" spans="2:11" x14ac:dyDescent="0.3">
      <c r="F139" s="23" t="s">
        <v>99</v>
      </c>
    </row>
    <row r="144" spans="2:11" x14ac:dyDescent="0.3">
      <c r="B144" s="13" t="s">
        <v>100</v>
      </c>
      <c r="C144">
        <v>2016</v>
      </c>
      <c r="F144" s="13" t="s">
        <v>89</v>
      </c>
    </row>
    <row r="145" spans="2:6" x14ac:dyDescent="0.3">
      <c r="B145" s="13" t="s">
        <v>87</v>
      </c>
    </row>
    <row r="146" spans="2:6" x14ac:dyDescent="0.3">
      <c r="B146" s="13" t="s">
        <v>88</v>
      </c>
      <c r="C146" t="s">
        <v>101</v>
      </c>
    </row>
    <row r="147" spans="2:6" x14ac:dyDescent="0.3">
      <c r="B147" s="13" t="s">
        <v>94</v>
      </c>
      <c r="E147" t="s">
        <v>123</v>
      </c>
      <c r="F147" s="23" t="s">
        <v>104</v>
      </c>
    </row>
    <row r="148" spans="2:6" x14ac:dyDescent="0.3">
      <c r="B148" s="13"/>
      <c r="E148" t="s">
        <v>123</v>
      </c>
      <c r="F148" s="23" t="s">
        <v>124</v>
      </c>
    </row>
    <row r="149" spans="2:6" x14ac:dyDescent="0.3">
      <c r="E149" t="s">
        <v>125</v>
      </c>
      <c r="F149" s="23" t="s">
        <v>105</v>
      </c>
    </row>
    <row r="150" spans="2:6" x14ac:dyDescent="0.3">
      <c r="E150" t="s">
        <v>125</v>
      </c>
      <c r="F150" s="23" t="s">
        <v>121</v>
      </c>
    </row>
  </sheetData>
  <mergeCells count="2">
    <mergeCell ref="G41:G42"/>
    <mergeCell ref="H41:H42"/>
  </mergeCells>
  <phoneticPr fontId="14" type="noConversion"/>
  <pageMargins left="0.7" right="0.7" top="0.78740157499999996" bottom="0.78740157499999996" header="0.3" footer="0.3"/>
  <pageSetup paperSize="9" scale="51"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7DA16-2BD3-419E-B452-0FEC714842C3}">
  <dimension ref="A1:E12"/>
  <sheetViews>
    <sheetView workbookViewId="0">
      <selection activeCell="A16" sqref="A16"/>
    </sheetView>
  </sheetViews>
  <sheetFormatPr baseColWidth="10" defaultRowHeight="14.4" x14ac:dyDescent="0.3"/>
  <cols>
    <col min="1" max="1" width="40" bestFit="1" customWidth="1"/>
    <col min="2" max="2" width="7.5546875" bestFit="1" customWidth="1"/>
    <col min="3" max="3" width="7.44140625" customWidth="1"/>
    <col min="4" max="4" width="59.6640625" bestFit="1" customWidth="1"/>
    <col min="5" max="5" width="7.5546875" bestFit="1" customWidth="1"/>
  </cols>
  <sheetData>
    <row r="1" spans="1:5" ht="21" x14ac:dyDescent="0.4">
      <c r="A1" s="154" t="s">
        <v>127</v>
      </c>
      <c r="B1" s="155"/>
      <c r="D1" s="154" t="s">
        <v>132</v>
      </c>
      <c r="E1" s="155"/>
    </row>
    <row r="2" spans="1:5" x14ac:dyDescent="0.3">
      <c r="A2" s="26" t="s">
        <v>128</v>
      </c>
      <c r="B2" s="27">
        <v>172638</v>
      </c>
      <c r="D2" s="26" t="s">
        <v>130</v>
      </c>
      <c r="E2" s="36">
        <f>4110+113</f>
        <v>4223</v>
      </c>
    </row>
    <row r="3" spans="1:5" x14ac:dyDescent="0.3">
      <c r="A3" s="26" t="s">
        <v>129</v>
      </c>
      <c r="B3" s="27">
        <v>5782</v>
      </c>
      <c r="D3" s="26" t="s">
        <v>133</v>
      </c>
      <c r="E3" s="36">
        <v>7025</v>
      </c>
    </row>
    <row r="4" spans="1:5" x14ac:dyDescent="0.3">
      <c r="A4" s="26" t="s">
        <v>130</v>
      </c>
      <c r="B4" s="27">
        <v>4110</v>
      </c>
      <c r="D4" s="26" t="s">
        <v>134</v>
      </c>
      <c r="E4" s="34">
        <v>87033</v>
      </c>
    </row>
    <row r="5" spans="1:5" x14ac:dyDescent="0.3">
      <c r="A5" s="26" t="s">
        <v>133</v>
      </c>
      <c r="B5" s="27">
        <v>1363</v>
      </c>
      <c r="D5" s="26" t="s">
        <v>137</v>
      </c>
      <c r="E5" s="36">
        <v>50</v>
      </c>
    </row>
    <row r="6" spans="1:5" ht="15" thickBot="1" x14ac:dyDescent="0.35">
      <c r="A6" s="28" t="s">
        <v>131</v>
      </c>
      <c r="B6" s="29">
        <v>925</v>
      </c>
      <c r="D6" s="26" t="s">
        <v>135</v>
      </c>
      <c r="E6" s="34">
        <f>21759+28</f>
        <v>21787</v>
      </c>
    </row>
    <row r="7" spans="1:5" ht="15" thickTop="1" x14ac:dyDescent="0.3">
      <c r="A7" s="30"/>
      <c r="B7" s="31">
        <f>SUM(B2:B6)</f>
        <v>184818</v>
      </c>
      <c r="D7" s="26" t="s">
        <v>136</v>
      </c>
      <c r="E7" s="38">
        <v>2271</v>
      </c>
    </row>
    <row r="8" spans="1:5" x14ac:dyDescent="0.3">
      <c r="D8" s="26" t="s">
        <v>140</v>
      </c>
      <c r="E8" s="38">
        <f>2227+950+4310+21394</f>
        <v>28881</v>
      </c>
    </row>
    <row r="9" spans="1:5" x14ac:dyDescent="0.3">
      <c r="D9" s="26" t="s">
        <v>138</v>
      </c>
      <c r="E9" s="38">
        <f>9217+21370</f>
        <v>30587</v>
      </c>
    </row>
    <row r="10" spans="1:5" x14ac:dyDescent="0.3">
      <c r="D10" s="26" t="s">
        <v>139</v>
      </c>
      <c r="E10" s="38">
        <f>1480+556</f>
        <v>2036</v>
      </c>
    </row>
    <row r="11" spans="1:5" ht="15" thickBot="1" x14ac:dyDescent="0.35">
      <c r="D11" s="28" t="s">
        <v>131</v>
      </c>
      <c r="E11" s="39">
        <v>925</v>
      </c>
    </row>
    <row r="12" spans="1:5" ht="15" thickTop="1" x14ac:dyDescent="0.3">
      <c r="D12" s="30"/>
      <c r="E12" s="31">
        <f>SUM(E2:E11)</f>
        <v>184818</v>
      </c>
    </row>
  </sheetData>
  <mergeCells count="2">
    <mergeCell ref="A1:B1"/>
    <mergeCell ref="D1:E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C1DC9-D493-42D0-9577-45DC80FEC371}">
  <sheetPr>
    <pageSetUpPr fitToPage="1"/>
  </sheetPr>
  <dimension ref="A1:K64"/>
  <sheetViews>
    <sheetView zoomScale="70" zoomScaleNormal="70" workbookViewId="0">
      <selection activeCell="D12" sqref="D12"/>
    </sheetView>
  </sheetViews>
  <sheetFormatPr baseColWidth="10" defaultRowHeight="21" x14ac:dyDescent="0.4"/>
  <cols>
    <col min="1" max="1" width="3.21875" style="87" customWidth="1"/>
    <col min="2" max="2" width="29.21875" style="87" customWidth="1"/>
    <col min="3" max="3" width="64" style="87" bestFit="1" customWidth="1"/>
    <col min="4" max="4" width="21.44140625" style="87" bestFit="1" customWidth="1"/>
    <col min="5" max="5" width="3" style="87" customWidth="1"/>
    <col min="6" max="6" width="101.21875" style="87" customWidth="1"/>
    <col min="7" max="7" width="12.6640625" style="87" customWidth="1"/>
    <col min="8" max="16384" width="11.5546875" style="87"/>
  </cols>
  <sheetData>
    <row r="1" spans="1:8" s="70" customFormat="1" x14ac:dyDescent="0.4">
      <c r="A1" s="69" t="s">
        <v>220</v>
      </c>
      <c r="B1" s="69"/>
      <c r="C1" s="69"/>
      <c r="D1" s="69"/>
      <c r="E1" s="69"/>
      <c r="F1" s="69"/>
    </row>
    <row r="2" spans="1:8" s="70" customFormat="1" x14ac:dyDescent="0.4">
      <c r="A2" s="85" t="s">
        <v>174</v>
      </c>
      <c r="B2" s="85"/>
      <c r="C2" s="85"/>
      <c r="D2" s="85"/>
      <c r="E2" s="97"/>
      <c r="F2" s="97"/>
      <c r="G2" s="97"/>
      <c r="H2" s="85"/>
    </row>
    <row r="3" spans="1:8" s="98" customFormat="1" x14ac:dyDescent="0.4">
      <c r="D3" s="99" t="s">
        <v>257</v>
      </c>
      <c r="E3" s="100"/>
      <c r="F3" s="151">
        <f>D5+D13+D14+D15+D22</f>
        <v>5663667</v>
      </c>
      <c r="G3" s="100"/>
    </row>
    <row r="4" spans="1:8" x14ac:dyDescent="0.4">
      <c r="A4" s="85" t="s">
        <v>175</v>
      </c>
      <c r="B4" s="86"/>
      <c r="C4" s="86"/>
      <c r="D4" s="86"/>
      <c r="E4" s="86"/>
      <c r="F4" s="86"/>
    </row>
    <row r="5" spans="1:8" s="101" customFormat="1" x14ac:dyDescent="0.4">
      <c r="A5" s="87"/>
      <c r="B5" s="101" t="s">
        <v>219</v>
      </c>
      <c r="D5" s="102">
        <v>3446207</v>
      </c>
      <c r="F5" s="87" t="s">
        <v>246</v>
      </c>
    </row>
    <row r="6" spans="1:8" x14ac:dyDescent="0.4">
      <c r="B6" s="87" t="s">
        <v>179</v>
      </c>
      <c r="C6" s="103"/>
      <c r="D6" s="88">
        <v>960000</v>
      </c>
      <c r="F6" s="87" t="s">
        <v>158</v>
      </c>
    </row>
    <row r="7" spans="1:8" x14ac:dyDescent="0.4">
      <c r="B7" s="87" t="s">
        <v>176</v>
      </c>
      <c r="C7" s="103"/>
      <c r="D7" s="88">
        <f>'deduktive Wertermittlung'!D6*300</f>
        <v>3389400</v>
      </c>
      <c r="F7" s="87" t="s">
        <v>247</v>
      </c>
    </row>
    <row r="8" spans="1:8" x14ac:dyDescent="0.4">
      <c r="B8" s="104" t="s">
        <v>229</v>
      </c>
      <c r="C8" s="103"/>
      <c r="D8" s="105">
        <f>42*7025</f>
        <v>295050</v>
      </c>
      <c r="F8" s="104" t="s">
        <v>248</v>
      </c>
      <c r="G8" s="90"/>
    </row>
    <row r="9" spans="1:8" x14ac:dyDescent="0.4">
      <c r="B9" s="104" t="s">
        <v>197</v>
      </c>
      <c r="C9" s="106"/>
      <c r="D9" s="105">
        <v>150000</v>
      </c>
      <c r="E9" s="104"/>
      <c r="F9" s="104" t="s">
        <v>225</v>
      </c>
      <c r="G9" s="90"/>
    </row>
    <row r="10" spans="1:8" x14ac:dyDescent="0.4">
      <c r="B10" s="87" t="s">
        <v>152</v>
      </c>
      <c r="C10" s="103"/>
      <c r="D10" s="88">
        <v>826000</v>
      </c>
      <c r="F10" s="87" t="s">
        <v>158</v>
      </c>
    </row>
    <row r="11" spans="1:8" x14ac:dyDescent="0.4">
      <c r="B11" s="104" t="s">
        <v>203</v>
      </c>
      <c r="C11" s="106"/>
      <c r="D11" s="105">
        <v>200000</v>
      </c>
      <c r="F11" s="87" t="s">
        <v>226</v>
      </c>
    </row>
    <row r="12" spans="1:8" x14ac:dyDescent="0.4">
      <c r="B12" s="87" t="s">
        <v>177</v>
      </c>
      <c r="C12" s="103"/>
      <c r="D12" s="88">
        <f>'deduktive Wertermittlung'!D7*30</f>
        <v>1941000</v>
      </c>
      <c r="E12" s="87" t="s">
        <v>181</v>
      </c>
      <c r="F12" s="107" t="s">
        <v>249</v>
      </c>
    </row>
    <row r="13" spans="1:8" x14ac:dyDescent="0.4">
      <c r="B13" s="87" t="s">
        <v>178</v>
      </c>
      <c r="C13" s="103"/>
      <c r="D13" s="102">
        <f>'deduktive Wertermittlung'!D5*3</f>
        <v>326460</v>
      </c>
      <c r="F13" s="87" t="s">
        <v>250</v>
      </c>
      <c r="G13" s="90"/>
    </row>
    <row r="14" spans="1:8" x14ac:dyDescent="0.4">
      <c r="B14" s="104" t="s">
        <v>180</v>
      </c>
      <c r="C14" s="106"/>
      <c r="D14" s="102">
        <v>210000</v>
      </c>
      <c r="E14" s="104"/>
      <c r="F14" s="104" t="s">
        <v>227</v>
      </c>
      <c r="G14" s="104"/>
    </row>
    <row r="15" spans="1:8" x14ac:dyDescent="0.4">
      <c r="B15" s="108" t="s">
        <v>126</v>
      </c>
      <c r="C15" s="109"/>
      <c r="D15" s="110">
        <v>1600000</v>
      </c>
      <c r="E15" s="108"/>
      <c r="F15" s="108" t="s">
        <v>161</v>
      </c>
    </row>
    <row r="16" spans="1:8" x14ac:dyDescent="0.4">
      <c r="C16" s="70" t="s">
        <v>206</v>
      </c>
      <c r="D16" s="111">
        <f>SUM(D5:D15)</f>
        <v>13344117</v>
      </c>
    </row>
    <row r="17" spans="1:7" x14ac:dyDescent="0.4">
      <c r="D17" s="88"/>
    </row>
    <row r="18" spans="1:7" x14ac:dyDescent="0.4">
      <c r="B18" s="87" t="s">
        <v>234</v>
      </c>
      <c r="C18" s="112"/>
      <c r="D18" s="105">
        <v>3220000</v>
      </c>
      <c r="F18" s="87" t="s">
        <v>235</v>
      </c>
      <c r="G18" s="90"/>
    </row>
    <row r="19" spans="1:7" x14ac:dyDescent="0.4">
      <c r="B19" s="87" t="s">
        <v>224</v>
      </c>
      <c r="D19" s="105">
        <f>(45*108820)*8/100</f>
        <v>391752</v>
      </c>
      <c r="F19" s="87" t="s">
        <v>251</v>
      </c>
      <c r="G19" s="90"/>
    </row>
    <row r="20" spans="1:7" x14ac:dyDescent="0.4">
      <c r="B20" s="104" t="s">
        <v>183</v>
      </c>
      <c r="C20" s="104"/>
      <c r="D20" s="105">
        <v>0</v>
      </c>
      <c r="E20" s="104"/>
      <c r="F20" s="104" t="s">
        <v>182</v>
      </c>
      <c r="G20" s="90"/>
    </row>
    <row r="21" spans="1:7" x14ac:dyDescent="0.4">
      <c r="B21" s="104" t="s">
        <v>184</v>
      </c>
      <c r="C21" s="104"/>
      <c r="D21" s="104"/>
      <c r="E21" s="104"/>
      <c r="F21" s="104"/>
    </row>
    <row r="22" spans="1:7" x14ac:dyDescent="0.4">
      <c r="B22" s="104"/>
      <c r="C22" s="104" t="s">
        <v>185</v>
      </c>
      <c r="D22" s="102">
        <v>81000</v>
      </c>
      <c r="E22" s="104"/>
      <c r="F22" s="104" t="s">
        <v>252</v>
      </c>
      <c r="G22" s="90"/>
    </row>
    <row r="23" spans="1:7" x14ac:dyDescent="0.4">
      <c r="B23" s="108"/>
      <c r="C23" s="108" t="s">
        <v>186</v>
      </c>
      <c r="D23" s="113">
        <v>174000</v>
      </c>
      <c r="E23" s="108"/>
      <c r="F23" s="108" t="s">
        <v>253</v>
      </c>
    </row>
    <row r="24" spans="1:7" x14ac:dyDescent="0.4">
      <c r="C24" s="70" t="s">
        <v>206</v>
      </c>
      <c r="D24" s="114">
        <f>SUM(D18:D23)</f>
        <v>3866752</v>
      </c>
      <c r="F24" s="104" t="s">
        <v>236</v>
      </c>
    </row>
    <row r="25" spans="1:7" x14ac:dyDescent="0.4">
      <c r="D25" s="114"/>
    </row>
    <row r="26" spans="1:7" ht="21.6" thickBot="1" x14ac:dyDescent="0.45">
      <c r="B26" s="115" t="s">
        <v>207</v>
      </c>
      <c r="C26" s="115"/>
      <c r="D26" s="116">
        <f>D16+D24</f>
        <v>17210869</v>
      </c>
      <c r="E26" s="115"/>
      <c r="F26" s="115"/>
    </row>
    <row r="27" spans="1:7" ht="21.6" thickTop="1" x14ac:dyDescent="0.4"/>
    <row r="28" spans="1:7" x14ac:dyDescent="0.4">
      <c r="A28" s="85" t="s">
        <v>237</v>
      </c>
      <c r="B28" s="86"/>
      <c r="C28" s="86"/>
      <c r="D28" s="86"/>
      <c r="E28" s="86"/>
      <c r="F28" s="86"/>
    </row>
    <row r="29" spans="1:7" x14ac:dyDescent="0.4">
      <c r="B29" s="118" t="s">
        <v>187</v>
      </c>
      <c r="C29" s="118"/>
      <c r="D29" s="131">
        <v>0</v>
      </c>
      <c r="E29" s="118"/>
      <c r="F29" s="118" t="s">
        <v>182</v>
      </c>
      <c r="G29" s="90"/>
    </row>
    <row r="30" spans="1:7" ht="21.6" thickBot="1" x14ac:dyDescent="0.45">
      <c r="B30" s="127" t="s">
        <v>262</v>
      </c>
      <c r="C30" s="127" t="s">
        <v>199</v>
      </c>
      <c r="D30" s="128">
        <f>108820*45</f>
        <v>4896900</v>
      </c>
      <c r="E30" s="129"/>
      <c r="F30" s="130"/>
      <c r="G30" s="90"/>
    </row>
    <row r="31" spans="1:7" ht="21.6" thickTop="1" x14ac:dyDescent="0.4">
      <c r="B31" s="70"/>
      <c r="C31" s="70"/>
      <c r="D31" s="111"/>
      <c r="F31" s="90"/>
      <c r="G31" s="90"/>
    </row>
    <row r="32" spans="1:7" x14ac:dyDescent="0.4">
      <c r="A32" s="85" t="s">
        <v>238</v>
      </c>
      <c r="B32" s="86"/>
      <c r="C32" s="86"/>
      <c r="D32" s="86"/>
      <c r="E32" s="86"/>
      <c r="F32" s="86"/>
      <c r="G32" s="90"/>
    </row>
    <row r="33" spans="1:11" x14ac:dyDescent="0.4">
      <c r="B33" s="70"/>
      <c r="C33" s="70"/>
      <c r="D33" s="111"/>
      <c r="F33" s="90"/>
      <c r="G33" s="90"/>
    </row>
    <row r="34" spans="1:11" x14ac:dyDescent="0.4">
      <c r="B34" s="87" t="s">
        <v>6</v>
      </c>
      <c r="C34" s="87" t="s">
        <v>196</v>
      </c>
      <c r="D34" s="88">
        <f>Grundsteuer!R138</f>
        <v>122750</v>
      </c>
      <c r="F34" s="87" t="s">
        <v>239</v>
      </c>
    </row>
    <row r="35" spans="1:11" ht="42.6" customHeight="1" x14ac:dyDescent="0.4">
      <c r="B35" s="87" t="s">
        <v>102</v>
      </c>
      <c r="C35" s="87" t="s">
        <v>188</v>
      </c>
      <c r="D35" s="88">
        <f>1500000*15/100</f>
        <v>225000</v>
      </c>
      <c r="F35" s="132" t="s">
        <v>241</v>
      </c>
      <c r="G35" s="104"/>
    </row>
    <row r="36" spans="1:11" x14ac:dyDescent="0.4">
      <c r="B36" s="108" t="s">
        <v>5</v>
      </c>
      <c r="C36" s="108"/>
      <c r="D36" s="113">
        <v>0</v>
      </c>
      <c r="E36" s="108"/>
      <c r="F36" s="108" t="s">
        <v>189</v>
      </c>
    </row>
    <row r="37" spans="1:11" x14ac:dyDescent="0.4">
      <c r="C37" s="87" t="s">
        <v>244</v>
      </c>
      <c r="D37" s="134">
        <f>SUM(D34:D36)</f>
        <v>347750</v>
      </c>
      <c r="F37" s="142" t="s">
        <v>254</v>
      </c>
    </row>
    <row r="38" spans="1:11" x14ac:dyDescent="0.4">
      <c r="D38" s="134"/>
    </row>
    <row r="39" spans="1:11" x14ac:dyDescent="0.4">
      <c r="B39" s="139" t="s">
        <v>233</v>
      </c>
      <c r="C39" s="139"/>
      <c r="D39" s="140">
        <f>(D37*40)</f>
        <v>13910000</v>
      </c>
      <c r="E39" s="139"/>
      <c r="F39" s="141" t="s">
        <v>255</v>
      </c>
      <c r="G39" s="90"/>
    </row>
    <row r="40" spans="1:11" ht="42" x14ac:dyDescent="0.4">
      <c r="B40" s="117"/>
      <c r="C40" s="117"/>
      <c r="D40" s="135">
        <f>-(((5000*2000)*0.15)*15)+13500000</f>
        <v>-9000000</v>
      </c>
      <c r="E40" s="119"/>
      <c r="F40" s="132" t="s">
        <v>231</v>
      </c>
      <c r="G40" s="90"/>
    </row>
    <row r="41" spans="1:11" ht="42" x14ac:dyDescent="0.4">
      <c r="B41" s="137"/>
      <c r="C41" s="137"/>
      <c r="D41" s="136">
        <f>-D39*0.1</f>
        <v>-1391000</v>
      </c>
      <c r="E41" s="108"/>
      <c r="F41" s="138" t="s">
        <v>230</v>
      </c>
      <c r="G41" s="90"/>
    </row>
    <row r="42" spans="1:11" x14ac:dyDescent="0.4">
      <c r="B42" s="117" t="s">
        <v>245</v>
      </c>
      <c r="C42" s="117"/>
      <c r="D42" s="133">
        <f>SUM(D39:D41)</f>
        <v>3519000</v>
      </c>
      <c r="E42" s="117"/>
      <c r="F42" s="118" t="s">
        <v>264</v>
      </c>
      <c r="G42" s="90"/>
    </row>
    <row r="43" spans="1:11" x14ac:dyDescent="0.4">
      <c r="B43" s="117"/>
      <c r="C43" s="117"/>
      <c r="D43" s="117"/>
      <c r="E43" s="119"/>
      <c r="F43" s="118"/>
      <c r="G43" s="90"/>
    </row>
    <row r="44" spans="1:11" ht="21.6" thickBot="1" x14ac:dyDescent="0.45">
      <c r="A44" s="143" t="s">
        <v>263</v>
      </c>
      <c r="B44" s="143"/>
      <c r="C44" s="143"/>
      <c r="D44" s="144">
        <f>D42+D30</f>
        <v>8415900</v>
      </c>
      <c r="E44" s="143"/>
      <c r="F44" s="143"/>
    </row>
    <row r="45" spans="1:11" ht="21.6" thickTop="1" x14ac:dyDescent="0.4">
      <c r="B45" s="117"/>
      <c r="C45" s="117"/>
      <c r="D45" s="117"/>
      <c r="E45" s="119"/>
      <c r="F45" s="118"/>
      <c r="G45" s="90"/>
    </row>
    <row r="46" spans="1:11" x14ac:dyDescent="0.4">
      <c r="B46" s="117"/>
      <c r="C46" s="117"/>
      <c r="D46" s="117"/>
      <c r="E46" s="119"/>
      <c r="F46" s="118"/>
      <c r="G46" s="90"/>
    </row>
    <row r="47" spans="1:11" x14ac:dyDescent="0.4">
      <c r="A47" s="85" t="s">
        <v>208</v>
      </c>
      <c r="B47" s="86"/>
      <c r="C47" s="86"/>
      <c r="D47" s="85"/>
      <c r="E47" s="86"/>
      <c r="F47" s="86"/>
      <c r="G47" s="90"/>
    </row>
    <row r="48" spans="1:11" s="101" customFormat="1" x14ac:dyDescent="0.4">
      <c r="A48" s="98"/>
      <c r="D48" s="98"/>
      <c r="G48" s="90"/>
      <c r="H48" s="87"/>
      <c r="I48" s="87"/>
      <c r="J48" s="87"/>
      <c r="K48" s="87"/>
    </row>
    <row r="49" spans="1:11" s="101" customFormat="1" x14ac:dyDescent="0.4">
      <c r="A49" s="98"/>
      <c r="D49" s="120">
        <f>D42</f>
        <v>3519000</v>
      </c>
      <c r="F49" s="101" t="s">
        <v>232</v>
      </c>
      <c r="G49" s="90"/>
      <c r="H49" s="87"/>
      <c r="I49" s="87"/>
      <c r="J49" s="87"/>
      <c r="K49" s="87"/>
    </row>
    <row r="50" spans="1:11" x14ac:dyDescent="0.4">
      <c r="D50" s="121">
        <f>-D26</f>
        <v>-17210869</v>
      </c>
      <c r="F50" s="87" t="s">
        <v>175</v>
      </c>
      <c r="G50" s="90"/>
    </row>
    <row r="51" spans="1:11" x14ac:dyDescent="0.4">
      <c r="D51" s="122">
        <f>D30</f>
        <v>4896900</v>
      </c>
      <c r="E51" s="108"/>
      <c r="F51" s="108" t="s">
        <v>200</v>
      </c>
      <c r="G51" s="90"/>
    </row>
    <row r="52" spans="1:11" x14ac:dyDescent="0.4">
      <c r="D52" s="123">
        <f>SUM(D49:D51)</f>
        <v>-8794969</v>
      </c>
      <c r="F52" s="100" t="s">
        <v>265</v>
      </c>
      <c r="G52" s="90"/>
    </row>
    <row r="53" spans="1:11" x14ac:dyDescent="0.4">
      <c r="G53" s="90"/>
    </row>
    <row r="54" spans="1:11" x14ac:dyDescent="0.4">
      <c r="D54" s="124">
        <f>(D52/40)/D26</f>
        <v>-1.2775312216948487E-2</v>
      </c>
      <c r="E54" s="125"/>
      <c r="F54" s="125" t="s">
        <v>240</v>
      </c>
    </row>
    <row r="56" spans="1:11" x14ac:dyDescent="0.4">
      <c r="A56" s="85" t="s">
        <v>209</v>
      </c>
      <c r="B56" s="86"/>
      <c r="C56" s="86"/>
      <c r="D56" s="86"/>
      <c r="E56" s="86"/>
      <c r="F56" s="86"/>
      <c r="G56" s="86"/>
    </row>
    <row r="57" spans="1:11" x14ac:dyDescent="0.4">
      <c r="C57" s="126" t="s">
        <v>70</v>
      </c>
      <c r="D57" s="126" t="s">
        <v>216</v>
      </c>
      <c r="F57" s="126" t="s">
        <v>259</v>
      </c>
    </row>
    <row r="58" spans="1:11" x14ac:dyDescent="0.4">
      <c r="A58" s="87" t="s">
        <v>210</v>
      </c>
      <c r="B58" s="87" t="s">
        <v>211</v>
      </c>
      <c r="C58" s="70">
        <v>45</v>
      </c>
      <c r="D58" s="88">
        <f>C58*'deduktive Wertermittlung'!D5</f>
        <v>4896900</v>
      </c>
      <c r="F58" s="89">
        <f>D52</f>
        <v>-8794969</v>
      </c>
      <c r="G58" s="90" t="s">
        <v>213</v>
      </c>
    </row>
    <row r="59" spans="1:11" x14ac:dyDescent="0.4">
      <c r="C59" s="70"/>
      <c r="F59" s="90"/>
      <c r="G59" s="90"/>
    </row>
    <row r="60" spans="1:11" x14ac:dyDescent="0.4">
      <c r="A60" s="87" t="s">
        <v>214</v>
      </c>
      <c r="B60" s="87" t="s">
        <v>212</v>
      </c>
      <c r="C60" s="87">
        <f>(C58*30/100)+45</f>
        <v>58.5</v>
      </c>
      <c r="D60" s="88">
        <f>C60*'deduktive Wertermittlung'!D5</f>
        <v>6365970</v>
      </c>
      <c r="F60" s="89">
        <f>F58+(D60-D58)</f>
        <v>-7325899</v>
      </c>
      <c r="G60" s="90" t="s">
        <v>213</v>
      </c>
    </row>
    <row r="62" spans="1:11" x14ac:dyDescent="0.4">
      <c r="A62" s="87" t="s">
        <v>217</v>
      </c>
      <c r="B62" s="87" t="s">
        <v>215</v>
      </c>
      <c r="C62" s="87">
        <f>(C58*50/100)+45</f>
        <v>67.5</v>
      </c>
      <c r="D62" s="88">
        <f>C62*'deduktive Wertermittlung'!D5</f>
        <v>7345350</v>
      </c>
      <c r="F62" s="89">
        <f>F58+(D62-D58)</f>
        <v>-6346519</v>
      </c>
      <c r="G62" s="90" t="s">
        <v>213</v>
      </c>
    </row>
    <row r="64" spans="1:11" x14ac:dyDescent="0.4">
      <c r="A64" s="91" t="s">
        <v>218</v>
      </c>
      <c r="B64" s="91" t="s">
        <v>242</v>
      </c>
      <c r="C64" s="92">
        <v>125.82</v>
      </c>
      <c r="D64" s="93">
        <f>C64*'deduktive Wertermittlung'!D5</f>
        <v>13691732.399999999</v>
      </c>
      <c r="E64" s="91"/>
      <c r="F64" s="94">
        <f>F58+(D64-D58)</f>
        <v>-136.60000000149012</v>
      </c>
      <c r="G64" s="91" t="s">
        <v>256</v>
      </c>
    </row>
  </sheetData>
  <pageMargins left="0.7" right="0.7" top="0.78740157499999996" bottom="0.78740157499999996" header="0.3" footer="0.3"/>
  <pageSetup paperSize="9" scale="44"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DB76D-739F-4ACC-BD17-542F7D748621}">
  <dimension ref="A1:D11"/>
  <sheetViews>
    <sheetView zoomScale="120" zoomScaleNormal="120" workbookViewId="0">
      <selection activeCell="G17" sqref="G17"/>
    </sheetView>
  </sheetViews>
  <sheetFormatPr baseColWidth="10" defaultRowHeight="14.4" x14ac:dyDescent="0.3"/>
  <cols>
    <col min="1" max="1" width="8" customWidth="1"/>
    <col min="2" max="2" width="32.77734375" customWidth="1"/>
    <col min="3" max="3" width="14.77734375" customWidth="1"/>
    <col min="4" max="4" width="12.6640625" customWidth="1"/>
  </cols>
  <sheetData>
    <row r="1" spans="1:4" s="70" customFormat="1" ht="21" x14ac:dyDescent="0.4">
      <c r="A1" s="69" t="s">
        <v>258</v>
      </c>
      <c r="B1" s="69"/>
      <c r="C1" s="69"/>
    </row>
    <row r="2" spans="1:4" s="71" customFormat="1" ht="18" x14ac:dyDescent="0.35">
      <c r="C2" s="84"/>
      <c r="D2" s="72"/>
    </row>
    <row r="3" spans="1:4" x14ac:dyDescent="0.3">
      <c r="A3" s="145" t="s">
        <v>175</v>
      </c>
      <c r="B3" s="145"/>
      <c r="C3" s="148">
        <f>-'Kosten Erlöse'!D26</f>
        <v>-17210869</v>
      </c>
    </row>
    <row r="4" spans="1:4" x14ac:dyDescent="0.3">
      <c r="A4" s="83"/>
      <c r="B4" s="83"/>
      <c r="C4" s="83"/>
    </row>
    <row r="5" spans="1:4" x14ac:dyDescent="0.3">
      <c r="A5" s="145" t="s">
        <v>198</v>
      </c>
      <c r="B5" s="145"/>
      <c r="C5" s="146">
        <f>'Kosten Erlöse'!D30</f>
        <v>4896900</v>
      </c>
    </row>
    <row r="6" spans="1:4" x14ac:dyDescent="0.3">
      <c r="A6" s="83"/>
      <c r="B6" s="83"/>
      <c r="C6" s="147"/>
      <c r="D6" s="47"/>
    </row>
    <row r="7" spans="1:4" x14ac:dyDescent="0.3">
      <c r="A7" s="145" t="s">
        <v>238</v>
      </c>
      <c r="B7" s="145"/>
      <c r="C7" s="146">
        <f>'Kosten Erlöse'!D42</f>
        <v>3519000</v>
      </c>
      <c r="D7" s="47"/>
    </row>
    <row r="8" spans="1:4" x14ac:dyDescent="0.3">
      <c r="B8" s="41"/>
      <c r="C8" s="41"/>
      <c r="D8" s="47"/>
    </row>
    <row r="9" spans="1:4" x14ac:dyDescent="0.3">
      <c r="A9" s="51" t="s">
        <v>208</v>
      </c>
      <c r="B9" s="33"/>
      <c r="C9" s="149">
        <f>C3+C5+C7</f>
        <v>-8794969</v>
      </c>
      <c r="D9" s="47"/>
    </row>
    <row r="10" spans="1:4" x14ac:dyDescent="0.3">
      <c r="D10" s="47"/>
    </row>
    <row r="11" spans="1:4" x14ac:dyDescent="0.3">
      <c r="B11" s="1" t="s">
        <v>266</v>
      </c>
      <c r="C11" s="150">
        <f>(C9/40)/-C3</f>
        <v>-1.2775312216948487E-2</v>
      </c>
      <c r="D11" s="47"/>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4B9CD-7251-4BE6-A39C-016495AC0F5F}">
  <dimension ref="A1:F9"/>
  <sheetViews>
    <sheetView workbookViewId="0">
      <selection activeCell="E4" sqref="E4"/>
    </sheetView>
  </sheetViews>
  <sheetFormatPr baseColWidth="10" defaultRowHeight="21" x14ac:dyDescent="0.4"/>
  <cols>
    <col min="1" max="1" width="14.33203125" style="87" customWidth="1"/>
    <col min="2" max="2" width="56.77734375" style="87" customWidth="1"/>
    <col min="3" max="3" width="11.6640625" style="87" bestFit="1" customWidth="1"/>
    <col min="4" max="4" width="19.33203125" style="87" bestFit="1" customWidth="1"/>
    <col min="5" max="5" width="24.33203125" style="87" bestFit="1" customWidth="1"/>
    <col min="6" max="6" width="19.77734375" style="87" bestFit="1" customWidth="1"/>
    <col min="7" max="16384" width="11.5546875" style="87"/>
  </cols>
  <sheetData>
    <row r="1" spans="1:6" x14ac:dyDescent="0.4">
      <c r="A1" s="85" t="s">
        <v>209</v>
      </c>
      <c r="B1" s="86"/>
      <c r="C1" s="95" t="s">
        <v>70</v>
      </c>
      <c r="D1" s="95" t="s">
        <v>216</v>
      </c>
      <c r="E1" s="96" t="s">
        <v>259</v>
      </c>
      <c r="F1" s="86"/>
    </row>
    <row r="3" spans="1:6" x14ac:dyDescent="0.4">
      <c r="A3" s="87" t="s">
        <v>210</v>
      </c>
      <c r="B3" s="87" t="s">
        <v>211</v>
      </c>
      <c r="C3" s="70">
        <v>45</v>
      </c>
      <c r="D3" s="88">
        <f>C3*'deduktive Wertermittlung'!D5</f>
        <v>4896900</v>
      </c>
      <c r="E3" s="89">
        <f>'Zusammenfassung Kosten Erlöse'!C9</f>
        <v>-8794969</v>
      </c>
      <c r="F3" s="90" t="s">
        <v>213</v>
      </c>
    </row>
    <row r="4" spans="1:6" x14ac:dyDescent="0.4">
      <c r="C4" s="70"/>
      <c r="E4" s="90"/>
      <c r="F4" s="90"/>
    </row>
    <row r="5" spans="1:6" x14ac:dyDescent="0.4">
      <c r="A5" s="87" t="s">
        <v>214</v>
      </c>
      <c r="B5" s="87" t="s">
        <v>260</v>
      </c>
      <c r="C5" s="87">
        <f>(C3*30/100)+45</f>
        <v>58.5</v>
      </c>
      <c r="D5" s="88">
        <f>C5*'deduktive Wertermittlung'!D5</f>
        <v>6365970</v>
      </c>
      <c r="E5" s="89">
        <f>E3+(D5-D3)</f>
        <v>-7325899</v>
      </c>
      <c r="F5" s="90" t="s">
        <v>213</v>
      </c>
    </row>
    <row r="7" spans="1:6" x14ac:dyDescent="0.4">
      <c r="A7" s="87" t="s">
        <v>217</v>
      </c>
      <c r="B7" s="87" t="s">
        <v>261</v>
      </c>
      <c r="C7" s="87">
        <f>(C3*50/100)+45</f>
        <v>67.5</v>
      </c>
      <c r="D7" s="88">
        <f>C7*'deduktive Wertermittlung'!D5</f>
        <v>7345350</v>
      </c>
      <c r="E7" s="89">
        <f>E3+(D7-D3)</f>
        <v>-6346519</v>
      </c>
      <c r="F7" s="90" t="s">
        <v>213</v>
      </c>
    </row>
    <row r="9" spans="1:6" x14ac:dyDescent="0.4">
      <c r="A9" s="91" t="s">
        <v>218</v>
      </c>
      <c r="B9" s="91" t="s">
        <v>242</v>
      </c>
      <c r="C9" s="92">
        <v>125.82</v>
      </c>
      <c r="D9" s="93">
        <f>C9*'deduktive Wertermittlung'!D5</f>
        <v>13691732.399999999</v>
      </c>
      <c r="E9" s="94">
        <f>E3+(D9-D3)</f>
        <v>-136.60000000149012</v>
      </c>
      <c r="F9" s="91" t="s">
        <v>256</v>
      </c>
    </row>
  </sheetData>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7C3B0-ED2F-454F-9E3B-D4B1E531D93F}">
  <dimension ref="A1"/>
  <sheetViews>
    <sheetView workbookViewId="0"/>
  </sheetViews>
  <sheetFormatPr baseColWidth="10" defaultRowHeight="14.4" x14ac:dyDescent="0.3"/>
  <sheetData/>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8DAA9-EEFD-4341-8BFD-B7DE915AE203}">
  <dimension ref="A1"/>
  <sheetViews>
    <sheetView workbookViewId="0">
      <selection activeCell="M13" sqref="M13"/>
    </sheetView>
  </sheetViews>
  <sheetFormatPr baseColWidth="10" defaultRowHeight="14.4" x14ac:dyDescent="0.3"/>
  <sheetData/>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40770-A3AE-4E76-B9F3-494DD19DCA5F}">
  <dimension ref="Q28:S139"/>
  <sheetViews>
    <sheetView topLeftCell="A124" zoomScale="70" zoomScaleNormal="70" workbookViewId="0">
      <selection activeCell="O135" sqref="O135"/>
    </sheetView>
  </sheetViews>
  <sheetFormatPr baseColWidth="10" defaultRowHeight="14.4" x14ac:dyDescent="0.3"/>
  <cols>
    <col min="18" max="18" width="30.88671875" bestFit="1" customWidth="1"/>
  </cols>
  <sheetData>
    <row r="28" spans="18:18" x14ac:dyDescent="0.3">
      <c r="R28" s="49">
        <v>11050</v>
      </c>
    </row>
    <row r="32" spans="18:18" x14ac:dyDescent="0.3">
      <c r="R32" t="s">
        <v>190</v>
      </c>
    </row>
    <row r="70" spans="18:18" x14ac:dyDescent="0.3">
      <c r="R70" s="49">
        <v>4800</v>
      </c>
    </row>
    <row r="75" spans="18:18" x14ac:dyDescent="0.3">
      <c r="R75" t="s">
        <v>191</v>
      </c>
    </row>
    <row r="117" spans="18:18" x14ac:dyDescent="0.3">
      <c r="R117" s="49">
        <v>8700</v>
      </c>
    </row>
    <row r="121" spans="18:18" x14ac:dyDescent="0.3">
      <c r="R121" t="s">
        <v>192</v>
      </c>
    </row>
    <row r="134" spans="17:19" x14ac:dyDescent="0.3">
      <c r="Q134" s="1" t="s">
        <v>193</v>
      </c>
      <c r="R134" s="50">
        <f>(R117+R70+R28)/3</f>
        <v>8183.333333333333</v>
      </c>
      <c r="S134" s="1"/>
    </row>
    <row r="135" spans="17:19" x14ac:dyDescent="0.3">
      <c r="Q135" s="1"/>
      <c r="R135" s="1"/>
      <c r="S135" s="1"/>
    </row>
    <row r="136" spans="17:19" x14ac:dyDescent="0.3">
      <c r="Q136" s="1" t="s">
        <v>194</v>
      </c>
      <c r="R136" s="1">
        <v>15</v>
      </c>
      <c r="S136" s="1" t="s">
        <v>195</v>
      </c>
    </row>
    <row r="137" spans="17:19" x14ac:dyDescent="0.3">
      <c r="Q137" s="1"/>
      <c r="R137" s="1"/>
      <c r="S137" s="1"/>
    </row>
    <row r="138" spans="17:19" x14ac:dyDescent="0.3">
      <c r="Q138" s="1" t="s">
        <v>4</v>
      </c>
      <c r="R138" s="50">
        <f>R134*R136</f>
        <v>122750</v>
      </c>
      <c r="S138" s="1"/>
    </row>
    <row r="139" spans="17:19" x14ac:dyDescent="0.3">
      <c r="Q139" s="1"/>
      <c r="R139" s="1"/>
      <c r="S139" s="1"/>
    </row>
  </sheetData>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A6E7D-2485-42B9-8B0F-2514F77724A9}">
  <dimension ref="A1"/>
  <sheetViews>
    <sheetView workbookViewId="0">
      <selection activeCell="H23" sqref="H23"/>
    </sheetView>
  </sheetViews>
  <sheetFormatPr baseColWidth="10" defaultRowHeight="14.4" x14ac:dyDescent="0.3"/>
  <sheetData/>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42"/>
  <sheetViews>
    <sheetView workbookViewId="0">
      <selection activeCell="B33" sqref="B33"/>
    </sheetView>
  </sheetViews>
  <sheetFormatPr baseColWidth="10" defaultColWidth="11.5546875" defaultRowHeight="13.2" x14ac:dyDescent="0.25"/>
  <cols>
    <col min="1" max="1" width="27.109375" style="6" customWidth="1"/>
    <col min="2" max="2" width="25.33203125" style="6" customWidth="1"/>
    <col min="3" max="3" width="20" style="6" customWidth="1"/>
    <col min="4" max="16384" width="11.5546875" style="6"/>
  </cols>
  <sheetData>
    <row r="1" spans="1:10" s="2" customFormat="1" ht="17.399999999999999" x14ac:dyDescent="0.3">
      <c r="A1" s="2" t="s">
        <v>7</v>
      </c>
    </row>
    <row r="2" spans="1:10" s="3" customFormat="1" x14ac:dyDescent="0.25">
      <c r="B2" s="3" t="s">
        <v>8</v>
      </c>
      <c r="C2" s="3" t="s">
        <v>9</v>
      </c>
      <c r="D2" s="3" t="s">
        <v>10</v>
      </c>
      <c r="E2" s="3" t="s">
        <v>11</v>
      </c>
      <c r="F2" s="3">
        <v>84</v>
      </c>
      <c r="G2" s="3">
        <v>98</v>
      </c>
      <c r="H2" s="3">
        <v>6</v>
      </c>
      <c r="I2" s="3">
        <v>5</v>
      </c>
    </row>
    <row r="3" spans="1:10" ht="26.4" x14ac:dyDescent="0.25">
      <c r="A3" s="4" t="s">
        <v>12</v>
      </c>
      <c r="B3" s="5" t="s">
        <v>13</v>
      </c>
      <c r="C3" s="5" t="s">
        <v>14</v>
      </c>
      <c r="D3" s="5" t="s">
        <v>14</v>
      </c>
      <c r="E3" s="5" t="s">
        <v>15</v>
      </c>
      <c r="F3" s="5" t="s">
        <v>16</v>
      </c>
      <c r="G3" s="5" t="s">
        <v>17</v>
      </c>
      <c r="H3" s="5" t="s">
        <v>18</v>
      </c>
      <c r="I3" s="5" t="s">
        <v>19</v>
      </c>
    </row>
    <row r="4" spans="1:10" ht="26.4" x14ac:dyDescent="0.25">
      <c r="A4" s="4" t="s">
        <v>20</v>
      </c>
      <c r="B4" s="5" t="s">
        <v>21</v>
      </c>
      <c r="C4" s="5" t="s">
        <v>21</v>
      </c>
      <c r="D4" s="5" t="s">
        <v>21</v>
      </c>
      <c r="E4" s="5" t="s">
        <v>21</v>
      </c>
      <c r="F4" s="5" t="s">
        <v>22</v>
      </c>
      <c r="G4" s="5" t="s">
        <v>23</v>
      </c>
      <c r="H4" s="5" t="s">
        <v>23</v>
      </c>
      <c r="I4" s="5" t="s">
        <v>23</v>
      </c>
    </row>
    <row r="5" spans="1:10" x14ac:dyDescent="0.25">
      <c r="A5" s="4" t="s">
        <v>24</v>
      </c>
      <c r="B5" s="5">
        <v>51937</v>
      </c>
      <c r="C5" s="5">
        <v>51937</v>
      </c>
      <c r="D5" s="5">
        <v>51937</v>
      </c>
      <c r="E5" s="5">
        <v>51937</v>
      </c>
      <c r="F5" s="5">
        <v>51353</v>
      </c>
      <c r="G5" s="5">
        <v>51936</v>
      </c>
      <c r="H5" s="5">
        <v>51936</v>
      </c>
      <c r="I5" s="5">
        <v>51936</v>
      </c>
    </row>
    <row r="6" spans="1:10" x14ac:dyDescent="0.25">
      <c r="A6" s="4" t="s">
        <v>25</v>
      </c>
      <c r="B6" s="5">
        <v>7</v>
      </c>
      <c r="C6" s="5">
        <v>7</v>
      </c>
      <c r="D6" s="5">
        <v>7</v>
      </c>
      <c r="E6" s="5">
        <v>7</v>
      </c>
      <c r="F6" s="5">
        <v>2</v>
      </c>
      <c r="G6" s="5">
        <v>1</v>
      </c>
      <c r="H6" s="5">
        <v>1</v>
      </c>
      <c r="I6" s="5">
        <v>1</v>
      </c>
    </row>
    <row r="7" spans="1:10" ht="26.4" x14ac:dyDescent="0.25">
      <c r="A7" s="4" t="s">
        <v>26</v>
      </c>
      <c r="B7" s="5" t="s">
        <v>27</v>
      </c>
      <c r="C7" s="5" t="s">
        <v>27</v>
      </c>
      <c r="D7" s="5" t="s">
        <v>27</v>
      </c>
      <c r="E7" s="5" t="s">
        <v>27</v>
      </c>
      <c r="F7" s="5" t="s">
        <v>27</v>
      </c>
      <c r="G7" s="5" t="s">
        <v>27</v>
      </c>
      <c r="H7" s="5" t="s">
        <v>27</v>
      </c>
      <c r="I7" s="5" t="s">
        <v>27</v>
      </c>
    </row>
    <row r="8" spans="1:10" x14ac:dyDescent="0.25">
      <c r="A8" s="4" t="s">
        <v>28</v>
      </c>
      <c r="B8" s="5">
        <v>5978012</v>
      </c>
      <c r="C8" s="5">
        <v>5978012</v>
      </c>
      <c r="D8" s="5">
        <v>5978012</v>
      </c>
      <c r="E8" s="5">
        <v>5978012</v>
      </c>
      <c r="F8" s="5">
        <v>5978012</v>
      </c>
      <c r="G8" s="5">
        <v>5978012</v>
      </c>
      <c r="H8" s="5">
        <v>5978012</v>
      </c>
      <c r="I8" s="5">
        <v>5978012</v>
      </c>
    </row>
    <row r="9" spans="1:10" x14ac:dyDescent="0.25">
      <c r="A9" s="4" t="s">
        <v>29</v>
      </c>
      <c r="B9" s="7">
        <v>8071</v>
      </c>
      <c r="C9" s="7">
        <v>10629</v>
      </c>
      <c r="D9" s="7">
        <v>10629</v>
      </c>
      <c r="E9" s="7">
        <v>12437</v>
      </c>
      <c r="F9" s="7">
        <v>27357</v>
      </c>
      <c r="G9" s="7">
        <v>79048</v>
      </c>
      <c r="H9" s="7">
        <v>4074</v>
      </c>
      <c r="I9" s="7">
        <v>7643</v>
      </c>
      <c r="J9" s="8">
        <f>SUM(B9:I9)</f>
        <v>159888</v>
      </c>
    </row>
    <row r="10" spans="1:10" ht="26.4" x14ac:dyDescent="0.25">
      <c r="A10" s="4" t="s">
        <v>30</v>
      </c>
      <c r="B10" s="5" t="s">
        <v>31</v>
      </c>
      <c r="C10" s="5" t="s">
        <v>31</v>
      </c>
      <c r="D10" s="5" t="s">
        <v>31</v>
      </c>
      <c r="E10" s="5" t="s">
        <v>31</v>
      </c>
      <c r="F10" s="5" t="s">
        <v>31</v>
      </c>
      <c r="G10" s="5" t="s">
        <v>32</v>
      </c>
      <c r="H10" s="5" t="s">
        <v>32</v>
      </c>
      <c r="I10" s="5" t="s">
        <v>32</v>
      </c>
    </row>
    <row r="11" spans="1:10" ht="26.4" x14ac:dyDescent="0.25">
      <c r="A11" s="4" t="s">
        <v>33</v>
      </c>
      <c r="B11" s="5" t="s">
        <v>34</v>
      </c>
      <c r="C11" s="5" t="s">
        <v>34</v>
      </c>
      <c r="D11" s="5" t="s">
        <v>34</v>
      </c>
      <c r="E11" s="5" t="s">
        <v>34</v>
      </c>
      <c r="F11" s="5" t="s">
        <v>34</v>
      </c>
      <c r="G11" s="5" t="s">
        <v>34</v>
      </c>
      <c r="H11" s="5" t="s">
        <v>34</v>
      </c>
      <c r="I11" s="5" t="s">
        <v>34</v>
      </c>
    </row>
    <row r="12" spans="1:10" ht="52.8" x14ac:dyDescent="0.25">
      <c r="A12" s="4" t="s">
        <v>35</v>
      </c>
      <c r="B12" s="5" t="s">
        <v>36</v>
      </c>
      <c r="C12" s="5" t="s">
        <v>37</v>
      </c>
      <c r="D12" s="5" t="s">
        <v>37</v>
      </c>
      <c r="E12" s="5" t="s">
        <v>38</v>
      </c>
      <c r="F12" s="5" t="s">
        <v>39</v>
      </c>
      <c r="G12" s="5" t="s">
        <v>40</v>
      </c>
      <c r="H12" s="5" t="s">
        <v>41</v>
      </c>
      <c r="I12" s="5" t="s">
        <v>42</v>
      </c>
    </row>
    <row r="13" spans="1:10" x14ac:dyDescent="0.25">
      <c r="A13" s="4"/>
      <c r="B13" s="5"/>
      <c r="C13" s="5"/>
      <c r="D13" s="5"/>
      <c r="E13" s="5"/>
      <c r="F13" s="5"/>
      <c r="G13" s="5"/>
      <c r="H13" s="5"/>
    </row>
    <row r="14" spans="1:10" s="3" customFormat="1" x14ac:dyDescent="0.25">
      <c r="B14" s="3">
        <v>118</v>
      </c>
      <c r="C14" s="3">
        <v>116</v>
      </c>
      <c r="D14" s="3">
        <v>374</v>
      </c>
      <c r="E14" s="3">
        <v>59</v>
      </c>
      <c r="F14" s="3">
        <v>60</v>
      </c>
      <c r="G14" s="3" t="s">
        <v>43</v>
      </c>
      <c r="H14" s="3">
        <v>250</v>
      </c>
      <c r="I14" s="3">
        <v>251</v>
      </c>
    </row>
    <row r="15" spans="1:10" ht="26.4" x14ac:dyDescent="0.25">
      <c r="A15" s="4" t="s">
        <v>12</v>
      </c>
      <c r="B15" s="5" t="s">
        <v>44</v>
      </c>
      <c r="C15" s="5" t="s">
        <v>45</v>
      </c>
      <c r="D15" s="5" t="s">
        <v>46</v>
      </c>
      <c r="E15" s="5" t="s">
        <v>47</v>
      </c>
      <c r="F15" s="5" t="s">
        <v>48</v>
      </c>
      <c r="G15" s="5" t="s">
        <v>49</v>
      </c>
      <c r="H15" s="5" t="s">
        <v>50</v>
      </c>
      <c r="I15" s="5" t="s">
        <v>51</v>
      </c>
    </row>
    <row r="16" spans="1:10" ht="26.4" x14ac:dyDescent="0.25">
      <c r="A16" s="4" t="s">
        <v>20</v>
      </c>
      <c r="B16" s="5" t="s">
        <v>23</v>
      </c>
      <c r="C16" s="5" t="s">
        <v>23</v>
      </c>
      <c r="D16" s="5" t="s">
        <v>21</v>
      </c>
      <c r="E16" s="5" t="s">
        <v>21</v>
      </c>
      <c r="F16" s="5" t="s">
        <v>21</v>
      </c>
      <c r="G16" s="5" t="s">
        <v>21</v>
      </c>
      <c r="H16" s="5" t="s">
        <v>21</v>
      </c>
      <c r="I16" s="5" t="s">
        <v>21</v>
      </c>
    </row>
    <row r="17" spans="1:10" x14ac:dyDescent="0.25">
      <c r="A17" s="4" t="s">
        <v>24</v>
      </c>
      <c r="B17" s="5">
        <v>51936</v>
      </c>
      <c r="C17" s="5">
        <v>51936</v>
      </c>
      <c r="D17" s="5">
        <v>51937</v>
      </c>
      <c r="E17" s="5">
        <v>51937</v>
      </c>
      <c r="F17" s="5">
        <v>51937</v>
      </c>
      <c r="G17" s="5">
        <v>51937</v>
      </c>
      <c r="H17" s="5">
        <v>51937</v>
      </c>
      <c r="I17" s="5">
        <v>51937</v>
      </c>
    </row>
    <row r="18" spans="1:10" x14ac:dyDescent="0.25">
      <c r="A18" s="4" t="s">
        <v>25</v>
      </c>
      <c r="B18" s="5">
        <v>1</v>
      </c>
      <c r="C18" s="5">
        <v>1</v>
      </c>
      <c r="D18" s="5">
        <v>7</v>
      </c>
      <c r="E18" s="5">
        <v>7</v>
      </c>
      <c r="F18" s="5">
        <v>7</v>
      </c>
      <c r="G18" s="5">
        <v>7</v>
      </c>
      <c r="H18" s="5">
        <v>7</v>
      </c>
      <c r="I18" s="5">
        <v>7</v>
      </c>
    </row>
    <row r="19" spans="1:10" ht="26.4" x14ac:dyDescent="0.25">
      <c r="A19" s="4" t="s">
        <v>26</v>
      </c>
      <c r="B19" s="5" t="s">
        <v>27</v>
      </c>
      <c r="C19" s="5" t="s">
        <v>27</v>
      </c>
      <c r="D19" s="5" t="s">
        <v>27</v>
      </c>
      <c r="E19" s="5" t="s">
        <v>27</v>
      </c>
      <c r="F19" s="5" t="s">
        <v>27</v>
      </c>
      <c r="G19" s="5" t="s">
        <v>27</v>
      </c>
      <c r="H19" s="5" t="s">
        <v>27</v>
      </c>
      <c r="I19" s="5" t="s">
        <v>27</v>
      </c>
    </row>
    <row r="20" spans="1:10" x14ac:dyDescent="0.25">
      <c r="A20" s="4" t="s">
        <v>28</v>
      </c>
      <c r="B20" s="5">
        <v>5978012</v>
      </c>
      <c r="C20" s="5">
        <v>5978012</v>
      </c>
      <c r="D20" s="5">
        <v>5978012</v>
      </c>
      <c r="E20" s="5">
        <v>5978012</v>
      </c>
      <c r="F20" s="5">
        <v>5978012</v>
      </c>
      <c r="G20" s="5">
        <v>5978012</v>
      </c>
      <c r="H20" s="5">
        <v>5978012</v>
      </c>
      <c r="I20" s="5">
        <v>5978012</v>
      </c>
    </row>
    <row r="21" spans="1:10" x14ac:dyDescent="0.25">
      <c r="A21" s="4" t="s">
        <v>29</v>
      </c>
      <c r="B21" s="7">
        <v>4668</v>
      </c>
      <c r="C21" s="7">
        <v>6049</v>
      </c>
      <c r="D21" s="7">
        <v>5547</v>
      </c>
      <c r="E21" s="7">
        <v>2386</v>
      </c>
      <c r="F21" s="7">
        <v>1566</v>
      </c>
      <c r="G21" s="7">
        <v>1524</v>
      </c>
      <c r="H21" s="7">
        <v>9166</v>
      </c>
      <c r="I21" s="7">
        <v>3826</v>
      </c>
      <c r="J21" s="8">
        <f>SUM(B21:I21)</f>
        <v>34732</v>
      </c>
    </row>
    <row r="22" spans="1:10" ht="26.4" x14ac:dyDescent="0.25">
      <c r="A22" s="4" t="s">
        <v>30</v>
      </c>
      <c r="B22" s="5" t="s">
        <v>32</v>
      </c>
      <c r="C22" s="5" t="s">
        <v>32</v>
      </c>
      <c r="D22" s="5" t="s">
        <v>52</v>
      </c>
      <c r="E22" s="5" t="s">
        <v>31</v>
      </c>
      <c r="F22" s="5" t="s">
        <v>31</v>
      </c>
      <c r="G22" s="5" t="s">
        <v>31</v>
      </c>
      <c r="H22" s="5" t="s">
        <v>31</v>
      </c>
      <c r="I22" s="5" t="s">
        <v>31</v>
      </c>
    </row>
    <row r="23" spans="1:10" ht="26.4" x14ac:dyDescent="0.25">
      <c r="A23" s="4" t="s">
        <v>33</v>
      </c>
      <c r="B23" s="5" t="s">
        <v>34</v>
      </c>
      <c r="C23" s="5" t="s">
        <v>34</v>
      </c>
      <c r="D23" s="5" t="s">
        <v>34</v>
      </c>
      <c r="E23" s="5" t="s">
        <v>34</v>
      </c>
      <c r="F23" s="5" t="s">
        <v>34</v>
      </c>
      <c r="G23" s="5" t="s">
        <v>34</v>
      </c>
      <c r="H23" s="5" t="s">
        <v>34</v>
      </c>
      <c r="I23" s="5" t="s">
        <v>34</v>
      </c>
    </row>
    <row r="24" spans="1:10" ht="52.8" x14ac:dyDescent="0.25">
      <c r="A24" s="4" t="s">
        <v>35</v>
      </c>
      <c r="B24" s="5" t="s">
        <v>53</v>
      </c>
      <c r="C24" s="5" t="s">
        <v>54</v>
      </c>
      <c r="D24" s="5" t="s">
        <v>55</v>
      </c>
      <c r="E24" s="5" t="s">
        <v>56</v>
      </c>
      <c r="F24" s="5" t="s">
        <v>57</v>
      </c>
      <c r="G24" s="5" t="s">
        <v>58</v>
      </c>
      <c r="H24" s="5" t="s">
        <v>59</v>
      </c>
      <c r="I24" s="5" t="s">
        <v>60</v>
      </c>
    </row>
    <row r="25" spans="1:10" ht="52.8" x14ac:dyDescent="0.25">
      <c r="E25" s="5" t="s">
        <v>61</v>
      </c>
    </row>
    <row r="26" spans="1:10" x14ac:dyDescent="0.25">
      <c r="E26" s="5" t="s">
        <v>62</v>
      </c>
    </row>
    <row r="27" spans="1:10" x14ac:dyDescent="0.25">
      <c r="J27" s="9">
        <f>SUM(J2:J26)</f>
        <v>194620</v>
      </c>
    </row>
    <row r="31" spans="1:10" x14ac:dyDescent="0.25">
      <c r="A31" s="6" t="s">
        <v>108</v>
      </c>
      <c r="B31" s="6" t="s">
        <v>21</v>
      </c>
    </row>
    <row r="32" spans="1:10" x14ac:dyDescent="0.25">
      <c r="A32" s="6" t="s">
        <v>109</v>
      </c>
      <c r="B32" s="6" t="s">
        <v>110</v>
      </c>
    </row>
    <row r="33" spans="1:4" x14ac:dyDescent="0.25">
      <c r="A33" s="6" t="s">
        <v>111</v>
      </c>
      <c r="B33" s="6" t="s">
        <v>112</v>
      </c>
    </row>
    <row r="34" spans="1:4" x14ac:dyDescent="0.25">
      <c r="B34" s="6" t="s">
        <v>114</v>
      </c>
    </row>
    <row r="35" spans="1:4" x14ac:dyDescent="0.25">
      <c r="A35" s="6" t="s">
        <v>116</v>
      </c>
      <c r="B35" s="6" t="s">
        <v>75</v>
      </c>
    </row>
    <row r="38" spans="1:4" x14ac:dyDescent="0.25">
      <c r="A38" s="6" t="s">
        <v>113</v>
      </c>
      <c r="B38" s="24" t="s">
        <v>115</v>
      </c>
    </row>
    <row r="41" spans="1:4" x14ac:dyDescent="0.25">
      <c r="A41" s="6" t="s">
        <v>117</v>
      </c>
      <c r="D41" s="6" t="s">
        <v>120</v>
      </c>
    </row>
    <row r="42" spans="1:4" x14ac:dyDescent="0.25">
      <c r="A42" s="6" t="s">
        <v>118</v>
      </c>
      <c r="B42" s="6" t="s">
        <v>119</v>
      </c>
      <c r="C42" s="6" t="s">
        <v>74</v>
      </c>
      <c r="D42" s="6" t="s">
        <v>120</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2</vt:i4>
      </vt:variant>
    </vt:vector>
  </HeadingPairs>
  <TitlesOfParts>
    <vt:vector size="12" baseType="lpstr">
      <vt:lpstr>deduktive Wertermittlung</vt:lpstr>
      <vt:lpstr>Kosten Erlöse</vt:lpstr>
      <vt:lpstr>Zusammenfassung Kosten Erlöse</vt:lpstr>
      <vt:lpstr>Zusammenfassung QM-Preis</vt:lpstr>
      <vt:lpstr>Zins und Tilgung</vt:lpstr>
      <vt:lpstr>Gewerbesteuer</vt:lpstr>
      <vt:lpstr>Grundsteuer</vt:lpstr>
      <vt:lpstr>Wirtschaftskennziffern</vt:lpstr>
      <vt:lpstr>Flächenübersicht</vt:lpstr>
      <vt:lpstr>Flächengegenüberstellung</vt:lpstr>
      <vt:lpstr>'deduktive Wertermittlung'!Druckbereich</vt:lpstr>
      <vt:lpstr>'Kosten Erlöse'!Druckbereich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Ulrich Geisler</dc:creator>
  <cp:lastModifiedBy>Julia Gungl</cp:lastModifiedBy>
  <cp:lastPrinted>2023-07-13T09:14:10Z</cp:lastPrinted>
  <dcterms:created xsi:type="dcterms:W3CDTF">2014-01-10T09:46:23Z</dcterms:created>
  <dcterms:modified xsi:type="dcterms:W3CDTF">2023-09-14T13:53:36Z</dcterms:modified>
</cp:coreProperties>
</file>